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PCNG\$$$$$ - %%%%\@@@@. Luong + PCTN NG\1. Nâng (Lg + PC NG)\Luong, PCTN 2021\Lương+PC tháng 1.2021\"/>
    </mc:Choice>
  </mc:AlternateContent>
  <bookViews>
    <workbookView xWindow="0" yWindow="0" windowWidth="20025" windowHeight="8370" tabRatio="584" activeTab="1"/>
  </bookViews>
  <sheets>
    <sheet name="$-TBao1 " sheetId="149" r:id="rId1"/>
    <sheet name="%-TBao2" sheetId="103" r:id="rId2"/>
    <sheet name="- DLiêu Gốc -" sheetId="52" r:id="rId3"/>
  </sheets>
  <externalReferences>
    <externalReference r:id="rId4"/>
    <externalReference r:id="rId5"/>
    <externalReference r:id="rId6"/>
    <externalReference r:id="rId7"/>
    <externalReference r:id="rId8"/>
  </externalReferences>
  <definedNames>
    <definedName name="_xlnm._FilterDatabase" localSheetId="2" hidden="1">'- DLiêu Gốc -'!$A$1:$K$115</definedName>
    <definedName name="_xlnm._FilterDatabase" localSheetId="0" hidden="1">'$-TBao1 '!$A$14:$EF$49</definedName>
    <definedName name="_xlnm._FilterDatabase" localSheetId="1" hidden="1">'%-TBao2'!$A$15:$ER$29</definedName>
    <definedName name="_xlnm.Print_Area" localSheetId="0">'$-TBao1 '!$B$1:$FO$73</definedName>
    <definedName name="_xlnm.Print_Area" localSheetId="1">'%-TBao2'!$B$1:$FR$98</definedName>
    <definedName name="_xlnm.Print_Titles" localSheetId="0">'$-TBao1 '!$9:$12</definedName>
    <definedName name="_xlnm.Print_Titles" localSheetId="1">'%-TBao2'!$11:$15</definedName>
  </definedNames>
  <calcPr calcId="152511"/>
</workbook>
</file>

<file path=xl/calcChain.xml><?xml version="1.0" encoding="utf-8"?>
<calcChain xmlns="http://schemas.openxmlformats.org/spreadsheetml/2006/main">
  <c r="EE27" i="103" l="1"/>
  <c r="EF27" i="103" s="1"/>
  <c r="DM27" i="103"/>
  <c r="DH27" i="103"/>
  <c r="DI27" i="103" s="1"/>
  <c r="DG27" i="103"/>
  <c r="DF27" i="103"/>
  <c r="DD27" i="103"/>
  <c r="CW27" i="103"/>
  <c r="CP27" i="103"/>
  <c r="CK27" i="103"/>
  <c r="CE27" i="103"/>
  <c r="CB27" i="103"/>
  <c r="CA27" i="103"/>
  <c r="BY27" i="103"/>
  <c r="BP27" i="103"/>
  <c r="BF27" i="103"/>
  <c r="BE27" i="103"/>
  <c r="AD27" i="103" s="1"/>
  <c r="BB27" i="103" s="1"/>
  <c r="BD27" i="103"/>
  <c r="BC27" i="103"/>
  <c r="AO27" i="103"/>
  <c r="Z27" i="103"/>
  <c r="X27" i="103" s="1"/>
  <c r="CJ27" i="103" s="1"/>
  <c r="W27" i="103"/>
  <c r="U27" i="103"/>
  <c r="T27" i="103"/>
  <c r="Q27" i="103"/>
  <c r="O27" i="103" s="1"/>
  <c r="M27" i="103"/>
  <c r="D27" i="103"/>
  <c r="EE26" i="103"/>
  <c r="EF26" i="103" s="1"/>
  <c r="DM26" i="103"/>
  <c r="DH26" i="103"/>
  <c r="DL26" i="103" s="1"/>
  <c r="DG26" i="103"/>
  <c r="DF26" i="103"/>
  <c r="DD26" i="103"/>
  <c r="CX26" i="103"/>
  <c r="CW26" i="103"/>
  <c r="DA26" i="103" s="1"/>
  <c r="CP26" i="103"/>
  <c r="CK26" i="103"/>
  <c r="CE26" i="103"/>
  <c r="CB26" i="103"/>
  <c r="CA26" i="103"/>
  <c r="BY26" i="103"/>
  <c r="BP26" i="103"/>
  <c r="BF26" i="103"/>
  <c r="BE26" i="103"/>
  <c r="BD26" i="103"/>
  <c r="BC26" i="103"/>
  <c r="AP26" i="103"/>
  <c r="AO26" i="103"/>
  <c r="Z26" i="103"/>
  <c r="W26" i="103"/>
  <c r="U26" i="103"/>
  <c r="T26" i="103"/>
  <c r="Q26" i="103"/>
  <c r="O26" i="103" s="1"/>
  <c r="M26" i="103"/>
  <c r="D26" i="103"/>
  <c r="EE25" i="103"/>
  <c r="EF25" i="103" s="1"/>
  <c r="DM25" i="103"/>
  <c r="DH25" i="103"/>
  <c r="DI25" i="103" s="1"/>
  <c r="DG25" i="103"/>
  <c r="DF25" i="103"/>
  <c r="DD25" i="103"/>
  <c r="CW25" i="103"/>
  <c r="CP25" i="103"/>
  <c r="CK25" i="103"/>
  <c r="CE25" i="103"/>
  <c r="CB25" i="103"/>
  <c r="CA25" i="103"/>
  <c r="BY25" i="103"/>
  <c r="BP25" i="103"/>
  <c r="BF25" i="103"/>
  <c r="BE25" i="103"/>
  <c r="BD25" i="103"/>
  <c r="BC25" i="103"/>
  <c r="AO25" i="103"/>
  <c r="AD25" i="103"/>
  <c r="AR25" i="103" s="1"/>
  <c r="Z25" i="103"/>
  <c r="W25" i="103"/>
  <c r="U25" i="103"/>
  <c r="T25" i="103"/>
  <c r="Q25" i="103"/>
  <c r="O25" i="103" s="1"/>
  <c r="M25" i="103"/>
  <c r="D25" i="103"/>
  <c r="EE24" i="103"/>
  <c r="EF24" i="103" s="1"/>
  <c r="DM24" i="103"/>
  <c r="DH24" i="103"/>
  <c r="DI24" i="103" s="1"/>
  <c r="DG24" i="103"/>
  <c r="DF24" i="103"/>
  <c r="DD24" i="103"/>
  <c r="CW24" i="103"/>
  <c r="CY24" i="103" s="1"/>
  <c r="CP24" i="103"/>
  <c r="CK24" i="103"/>
  <c r="CE24" i="103"/>
  <c r="CB24" i="103"/>
  <c r="CA24" i="103"/>
  <c r="BY24" i="103"/>
  <c r="BP24" i="103"/>
  <c r="BF24" i="103"/>
  <c r="BE24" i="103"/>
  <c r="BB24" i="103" s="1"/>
  <c r="CD24" i="103" s="1"/>
  <c r="BD24" i="103"/>
  <c r="BC24" i="103"/>
  <c r="AP24" i="103"/>
  <c r="AO24" i="103"/>
  <c r="Z24" i="103"/>
  <c r="W24" i="103"/>
  <c r="U24" i="103"/>
  <c r="T24" i="103"/>
  <c r="Q24" i="103"/>
  <c r="O24" i="103" s="1"/>
  <c r="M24" i="103"/>
  <c r="D24" i="103"/>
  <c r="EE23" i="103"/>
  <c r="EF23" i="103" s="1"/>
  <c r="DM23" i="103"/>
  <c r="DH23" i="103"/>
  <c r="DL23" i="103" s="1"/>
  <c r="DG23" i="103"/>
  <c r="DF23" i="103"/>
  <c r="DD23" i="103"/>
  <c r="CX23" i="103"/>
  <c r="CW23" i="103"/>
  <c r="DA23" i="103" s="1"/>
  <c r="CP23" i="103"/>
  <c r="CK23" i="103"/>
  <c r="CE23" i="103"/>
  <c r="CB23" i="103"/>
  <c r="CA23" i="103"/>
  <c r="BY23" i="103"/>
  <c r="BP23" i="103"/>
  <c r="BF23" i="103"/>
  <c r="BE23" i="103"/>
  <c r="BD23" i="103"/>
  <c r="BC23" i="103"/>
  <c r="AO23" i="103"/>
  <c r="Z23" i="103"/>
  <c r="W23" i="103"/>
  <c r="U23" i="103"/>
  <c r="T23" i="103"/>
  <c r="Q23" i="103"/>
  <c r="O23" i="103" s="1"/>
  <c r="M23" i="103"/>
  <c r="D23" i="103"/>
  <c r="EE22" i="103"/>
  <c r="EF22" i="103" s="1"/>
  <c r="DM22" i="103"/>
  <c r="DH22" i="103"/>
  <c r="DI22" i="103" s="1"/>
  <c r="DG22" i="103"/>
  <c r="DF22" i="103"/>
  <c r="DD22" i="103"/>
  <c r="CW22" i="103"/>
  <c r="CP22" i="103"/>
  <c r="CK22" i="103"/>
  <c r="CE22" i="103"/>
  <c r="CB22" i="103"/>
  <c r="CA22" i="103"/>
  <c r="BY22" i="103"/>
  <c r="BP22" i="103"/>
  <c r="BF22" i="103"/>
  <c r="BE22" i="103"/>
  <c r="BD22" i="103"/>
  <c r="BC22" i="103"/>
  <c r="AO22" i="103"/>
  <c r="Z22" i="103"/>
  <c r="W22" i="103"/>
  <c r="U22" i="103"/>
  <c r="T22" i="103"/>
  <c r="Q22" i="103"/>
  <c r="O22" i="103" s="1"/>
  <c r="M22" i="103"/>
  <c r="D22" i="103"/>
  <c r="EE21" i="103"/>
  <c r="EF21" i="103" s="1"/>
  <c r="DM21" i="103"/>
  <c r="DH21" i="103"/>
  <c r="DI21" i="103" s="1"/>
  <c r="DG21" i="103"/>
  <c r="DF21" i="103"/>
  <c r="CX21" i="103" s="1"/>
  <c r="DD21" i="103"/>
  <c r="CW21" i="103"/>
  <c r="CP21" i="103"/>
  <c r="CK21" i="103"/>
  <c r="CE21" i="103"/>
  <c r="CB21" i="103"/>
  <c r="CA21" i="103"/>
  <c r="BY21" i="103"/>
  <c r="BP21" i="103"/>
  <c r="BF21" i="103"/>
  <c r="BE21" i="103"/>
  <c r="BD21" i="103"/>
  <c r="BC21" i="103"/>
  <c r="AO21" i="103"/>
  <c r="AD21" i="103"/>
  <c r="Z21" i="103"/>
  <c r="W21" i="103"/>
  <c r="U21" i="103"/>
  <c r="T21" i="103"/>
  <c r="Q21" i="103"/>
  <c r="O21" i="103" s="1"/>
  <c r="M21" i="103"/>
  <c r="D21" i="103"/>
  <c r="EE20" i="103"/>
  <c r="EF20" i="103" s="1"/>
  <c r="DM20" i="103"/>
  <c r="DH20" i="103"/>
  <c r="DL20" i="103" s="1"/>
  <c r="DG20" i="103"/>
  <c r="CV20" i="103" s="1"/>
  <c r="BZ20" i="103" s="1"/>
  <c r="DF20" i="103"/>
  <c r="DD20" i="103"/>
  <c r="CX20" i="103"/>
  <c r="CW20" i="103"/>
  <c r="DA20" i="103" s="1"/>
  <c r="CP20" i="103"/>
  <c r="CK20" i="103"/>
  <c r="CE20" i="103"/>
  <c r="CB20" i="103"/>
  <c r="CA20" i="103"/>
  <c r="BY20" i="103"/>
  <c r="BP20" i="103"/>
  <c r="BF20" i="103"/>
  <c r="BE20" i="103"/>
  <c r="BD20" i="103"/>
  <c r="BC20" i="103"/>
  <c r="AO20" i="103"/>
  <c r="Z20" i="103"/>
  <c r="W20" i="103"/>
  <c r="U20" i="103"/>
  <c r="T20" i="103"/>
  <c r="Q20" i="103"/>
  <c r="O20" i="103" s="1"/>
  <c r="M20" i="103"/>
  <c r="D20" i="103"/>
  <c r="EE19" i="103"/>
  <c r="EF19" i="103" s="1"/>
  <c r="DM19" i="103"/>
  <c r="DH19" i="103"/>
  <c r="DI19" i="103" s="1"/>
  <c r="DG19" i="103"/>
  <c r="DF19" i="103"/>
  <c r="CX19" i="103" s="1"/>
  <c r="DD19" i="103"/>
  <c r="CW19" i="103"/>
  <c r="CP19" i="103"/>
  <c r="CK19" i="103"/>
  <c r="CE19" i="103"/>
  <c r="CB19" i="103"/>
  <c r="CA19" i="103"/>
  <c r="BY19" i="103"/>
  <c r="BP19" i="103"/>
  <c r="BF19" i="103"/>
  <c r="BE19" i="103"/>
  <c r="AD19" i="103" s="1"/>
  <c r="BD19" i="103"/>
  <c r="BC19" i="103"/>
  <c r="AO19" i="103"/>
  <c r="Z19" i="103"/>
  <c r="W19" i="103"/>
  <c r="U19" i="103"/>
  <c r="T19" i="103"/>
  <c r="Q19" i="103"/>
  <c r="O19" i="103" s="1"/>
  <c r="M19" i="103"/>
  <c r="D19" i="103"/>
  <c r="EE18" i="103"/>
  <c r="EF18" i="103" s="1"/>
  <c r="DM18" i="103"/>
  <c r="DH18" i="103"/>
  <c r="DL18" i="103" s="1"/>
  <c r="DG18" i="103"/>
  <c r="DF18" i="103"/>
  <c r="DD18" i="103"/>
  <c r="CX18" i="103"/>
  <c r="CW18" i="103"/>
  <c r="DA18" i="103" s="1"/>
  <c r="CP18" i="103"/>
  <c r="CK18" i="103"/>
  <c r="CE18" i="103"/>
  <c r="CB18" i="103"/>
  <c r="CA18" i="103"/>
  <c r="BY18" i="103"/>
  <c r="BP18" i="103"/>
  <c r="BF18" i="103"/>
  <c r="BE18" i="103"/>
  <c r="BD18" i="103"/>
  <c r="BC18" i="103"/>
  <c r="AP18" i="103"/>
  <c r="AO18" i="103"/>
  <c r="Z18" i="103"/>
  <c r="W18" i="103"/>
  <c r="U18" i="103"/>
  <c r="T18" i="103"/>
  <c r="Q18" i="103"/>
  <c r="O18" i="103" s="1"/>
  <c r="M18" i="103"/>
  <c r="D18" i="103"/>
  <c r="EE16" i="103"/>
  <c r="EF16" i="103" s="1"/>
  <c r="DM16" i="103"/>
  <c r="DH16" i="103"/>
  <c r="DI16" i="103" s="1"/>
  <c r="DG16" i="103"/>
  <c r="DF16" i="103"/>
  <c r="CX16" i="103" s="1"/>
  <c r="DD16" i="103"/>
  <c r="CW16" i="103"/>
  <c r="DB16" i="103" s="1"/>
  <c r="CP16" i="103"/>
  <c r="CK16" i="103"/>
  <c r="CE16" i="103"/>
  <c r="CB16" i="103"/>
  <c r="CA16" i="103"/>
  <c r="BY16" i="103"/>
  <c r="BF16" i="103" s="1"/>
  <c r="BP16" i="103"/>
  <c r="BE16" i="103"/>
  <c r="AD16" i="103" s="1"/>
  <c r="BD16" i="103"/>
  <c r="BC16" i="103"/>
  <c r="AO16" i="103"/>
  <c r="Z16" i="103"/>
  <c r="W16" i="103"/>
  <c r="U16" i="103"/>
  <c r="T16" i="103"/>
  <c r="Q16" i="103"/>
  <c r="O16" i="103" s="1"/>
  <c r="M16" i="103"/>
  <c r="D16" i="103"/>
  <c r="DB19" i="103" l="1"/>
  <c r="EM20" i="103"/>
  <c r="DB20" i="103"/>
  <c r="X19" i="103"/>
  <c r="CJ19" i="103" s="1"/>
  <c r="X16" i="103"/>
  <c r="CJ16" i="103" s="1"/>
  <c r="AE26" i="103"/>
  <c r="AR26" i="103" s="1"/>
  <c r="AE18" i="103"/>
  <c r="AR18" i="103" s="1"/>
  <c r="X20" i="103"/>
  <c r="CJ20" i="103" s="1"/>
  <c r="AE21" i="103"/>
  <c r="AE22" i="103"/>
  <c r="AE23" i="103"/>
  <c r="X24" i="103"/>
  <c r="CJ24" i="103" s="1"/>
  <c r="CC24" i="103" s="1"/>
  <c r="EM24" i="103"/>
  <c r="AE24" i="103"/>
  <c r="AR24" i="103" s="1"/>
  <c r="EM27" i="103"/>
  <c r="EM21" i="103"/>
  <c r="AE20" i="103"/>
  <c r="X18" i="103"/>
  <c r="CJ18" i="103" s="1"/>
  <c r="CV18" i="103"/>
  <c r="BZ18" i="103" s="1"/>
  <c r="DI18" i="103"/>
  <c r="X21" i="103"/>
  <c r="CJ21" i="103" s="1"/>
  <c r="X23" i="103"/>
  <c r="CJ23" i="103" s="1"/>
  <c r="DB23" i="103"/>
  <c r="X25" i="103"/>
  <c r="CJ25" i="103" s="1"/>
  <c r="X26" i="103"/>
  <c r="CJ26" i="103" s="1"/>
  <c r="CV26" i="103"/>
  <c r="BZ26" i="103" s="1"/>
  <c r="DI26" i="103"/>
  <c r="DL27" i="103"/>
  <c r="CD27" i="103"/>
  <c r="AA27" i="103"/>
  <c r="AE16" i="103"/>
  <c r="AR16" i="103" s="1"/>
  <c r="EM18" i="103"/>
  <c r="DB18" i="103"/>
  <c r="EM19" i="103"/>
  <c r="AE19" i="103"/>
  <c r="DI20" i="103"/>
  <c r="X22" i="103"/>
  <c r="CJ22" i="103" s="1"/>
  <c r="EM22" i="103"/>
  <c r="DL22" i="103"/>
  <c r="CV23" i="103"/>
  <c r="DI23" i="103"/>
  <c r="AA24" i="103"/>
  <c r="EM25" i="103"/>
  <c r="DL25" i="103"/>
  <c r="DB26" i="103"/>
  <c r="AE27" i="103"/>
  <c r="AR19" i="103"/>
  <c r="BB25" i="103"/>
  <c r="DB21" i="103"/>
  <c r="AR21" i="103"/>
  <c r="BZ23" i="103"/>
  <c r="EN23" i="103"/>
  <c r="AQ16" i="103"/>
  <c r="BB16" i="103"/>
  <c r="CY16" i="103"/>
  <c r="CZ16" i="103" s="1"/>
  <c r="DL16" i="103"/>
  <c r="EM16" i="103"/>
  <c r="EN18" i="103"/>
  <c r="AQ19" i="103"/>
  <c r="BB19" i="103"/>
  <c r="CY19" i="103"/>
  <c r="CZ19" i="103" s="1"/>
  <c r="DA19" i="103"/>
  <c r="DL19" i="103"/>
  <c r="EN20" i="103"/>
  <c r="AQ21" i="103"/>
  <c r="BB21" i="103"/>
  <c r="CY21" i="103"/>
  <c r="CZ21" i="103" s="1"/>
  <c r="DA21" i="103"/>
  <c r="DL21" i="103"/>
  <c r="DA22" i="103"/>
  <c r="AQ24" i="103"/>
  <c r="CX24" i="103"/>
  <c r="CZ24" i="103" s="1"/>
  <c r="CV24" i="103"/>
  <c r="DA25" i="103"/>
  <c r="EM26" i="103"/>
  <c r="BB26" i="103"/>
  <c r="CD26" i="103" s="1"/>
  <c r="DA27" i="103"/>
  <c r="DA16" i="103"/>
  <c r="AC16" i="103"/>
  <c r="AP16" i="103"/>
  <c r="CV16" i="103"/>
  <c r="AQ18" i="103"/>
  <c r="BB18" i="103"/>
  <c r="CD18" i="103" s="1"/>
  <c r="CC18" i="103" s="1"/>
  <c r="CY18" i="103"/>
  <c r="CZ18" i="103" s="1"/>
  <c r="AC19" i="103"/>
  <c r="AP19" i="103"/>
  <c r="CV19" i="103"/>
  <c r="AD20" i="103"/>
  <c r="CY20" i="103"/>
  <c r="CZ20" i="103" s="1"/>
  <c r="AC21" i="103"/>
  <c r="AP21" i="103"/>
  <c r="CV21" i="103"/>
  <c r="AD22" i="103"/>
  <c r="CY22" i="103"/>
  <c r="CX22" i="103"/>
  <c r="DB22" i="103" s="1"/>
  <c r="CV22" i="103"/>
  <c r="EM23" i="103"/>
  <c r="AD23" i="103"/>
  <c r="DB24" i="103"/>
  <c r="DA24" i="103"/>
  <c r="DL24" i="103"/>
  <c r="AQ25" i="103"/>
  <c r="CY25" i="103"/>
  <c r="CX25" i="103"/>
  <c r="DB25" i="103" s="1"/>
  <c r="CV25" i="103"/>
  <c r="CC26" i="103"/>
  <c r="EN26" i="103"/>
  <c r="AR27" i="103"/>
  <c r="AP27" i="103"/>
  <c r="AC27" i="103"/>
  <c r="AQ27" i="103"/>
  <c r="CC27" i="103"/>
  <c r="CY27" i="103"/>
  <c r="CX27" i="103"/>
  <c r="DB27" i="103" s="1"/>
  <c r="CV27" i="103"/>
  <c r="CY23" i="103"/>
  <c r="CZ23" i="103" s="1"/>
  <c r="AP25" i="103"/>
  <c r="AQ26" i="103"/>
  <c r="CY26" i="103"/>
  <c r="CZ26" i="103" s="1"/>
  <c r="EE61" i="103"/>
  <c r="EF61" i="103" s="1"/>
  <c r="DM61" i="103"/>
  <c r="DH61" i="103"/>
  <c r="DI61" i="103" s="1"/>
  <c r="DG61" i="103"/>
  <c r="DF61" i="103"/>
  <c r="DD61" i="103"/>
  <c r="CW61" i="103"/>
  <c r="CP61" i="103"/>
  <c r="CK61" i="103"/>
  <c r="CE61" i="103"/>
  <c r="CB61" i="103"/>
  <c r="CA61" i="103"/>
  <c r="BY61" i="103"/>
  <c r="BP61" i="103"/>
  <c r="BF61" i="103"/>
  <c r="BE61" i="103"/>
  <c r="AD61" i="103" s="1"/>
  <c r="BB61" i="103" s="1"/>
  <c r="BD61" i="103"/>
  <c r="BC61" i="103"/>
  <c r="AO61" i="103"/>
  <c r="Z61" i="103"/>
  <c r="W61" i="103"/>
  <c r="U61" i="103"/>
  <c r="T61" i="103"/>
  <c r="Q61" i="103"/>
  <c r="O61" i="103" s="1"/>
  <c r="M61" i="103"/>
  <c r="D61" i="103"/>
  <c r="EE60" i="103"/>
  <c r="EF60" i="103" s="1"/>
  <c r="DM60" i="103"/>
  <c r="DH60" i="103"/>
  <c r="DL60" i="103" s="1"/>
  <c r="DG60" i="103"/>
  <c r="DF60" i="103"/>
  <c r="DD60" i="103"/>
  <c r="CX60" i="103"/>
  <c r="CW60" i="103"/>
  <c r="DA60" i="103" s="1"/>
  <c r="CP60" i="103"/>
  <c r="CK60" i="103"/>
  <c r="CE60" i="103"/>
  <c r="CB60" i="103"/>
  <c r="CA60" i="103"/>
  <c r="BY60" i="103"/>
  <c r="BP60" i="103"/>
  <c r="BF60" i="103"/>
  <c r="BE60" i="103"/>
  <c r="BD60" i="103"/>
  <c r="BC60" i="103"/>
  <c r="AP60" i="103"/>
  <c r="AO60" i="103"/>
  <c r="Z60" i="103"/>
  <c r="W60" i="103"/>
  <c r="U60" i="103"/>
  <c r="T60" i="103"/>
  <c r="Q60" i="103"/>
  <c r="O60" i="103" s="1"/>
  <c r="M60" i="103"/>
  <c r="D60" i="103"/>
  <c r="EE59" i="103"/>
  <c r="EF59" i="103" s="1"/>
  <c r="DM59" i="103"/>
  <c r="DH59" i="103"/>
  <c r="DI59" i="103" s="1"/>
  <c r="DG59" i="103"/>
  <c r="DF59" i="103"/>
  <c r="DD59" i="103"/>
  <c r="CW59" i="103"/>
  <c r="CP59" i="103"/>
  <c r="CK59" i="103"/>
  <c r="CE59" i="103"/>
  <c r="CB59" i="103"/>
  <c r="CA59" i="103"/>
  <c r="BY59" i="103"/>
  <c r="BP59" i="103"/>
  <c r="BF59" i="103"/>
  <c r="BE59" i="103"/>
  <c r="BD59" i="103"/>
  <c r="BC59" i="103"/>
  <c r="AO59" i="103"/>
  <c r="AD59" i="103"/>
  <c r="AR59" i="103" s="1"/>
  <c r="Z59" i="103"/>
  <c r="W59" i="103"/>
  <c r="U59" i="103"/>
  <c r="T59" i="103"/>
  <c r="Q59" i="103"/>
  <c r="O59" i="103" s="1"/>
  <c r="M59" i="103"/>
  <c r="D59" i="103"/>
  <c r="EE58" i="103"/>
  <c r="EF58" i="103" s="1"/>
  <c r="DH58" i="103"/>
  <c r="DL58" i="103" s="1"/>
  <c r="DG58" i="103"/>
  <c r="CV58" i="103" s="1"/>
  <c r="BZ58" i="103" s="1"/>
  <c r="DF58" i="103"/>
  <c r="DD58" i="103"/>
  <c r="CX58" i="103"/>
  <c r="CW58" i="103"/>
  <c r="DA58" i="103" s="1"/>
  <c r="CP58" i="103"/>
  <c r="CK58" i="103"/>
  <c r="DN58" i="103" s="1"/>
  <c r="CE58" i="103"/>
  <c r="CB58" i="103"/>
  <c r="CA58" i="103"/>
  <c r="BY58" i="103"/>
  <c r="BP58" i="103"/>
  <c r="BF58" i="103"/>
  <c r="BE58" i="103"/>
  <c r="BD58" i="103"/>
  <c r="AE58" i="103" s="1"/>
  <c r="BC58" i="103"/>
  <c r="AO58" i="103"/>
  <c r="Z58" i="103"/>
  <c r="W58" i="103"/>
  <c r="U58" i="103"/>
  <c r="T58" i="103"/>
  <c r="Q58" i="103"/>
  <c r="O58" i="103" s="1"/>
  <c r="M58" i="103"/>
  <c r="D58" i="103"/>
  <c r="EE57" i="103"/>
  <c r="EF57" i="103" s="1"/>
  <c r="DM57" i="103"/>
  <c r="DH57" i="103"/>
  <c r="DI57" i="103" s="1"/>
  <c r="DG57" i="103"/>
  <c r="DF57" i="103"/>
  <c r="DD57" i="103"/>
  <c r="CW57" i="103"/>
  <c r="CY57" i="103" s="1"/>
  <c r="CP57" i="103"/>
  <c r="CK57" i="103"/>
  <c r="CE57" i="103"/>
  <c r="CB57" i="103"/>
  <c r="CA57" i="103"/>
  <c r="BY57" i="103"/>
  <c r="BP57" i="103"/>
  <c r="BF57" i="103"/>
  <c r="BE57" i="103"/>
  <c r="BB57" i="103" s="1"/>
  <c r="BD57" i="103"/>
  <c r="BC57" i="103"/>
  <c r="AP57" i="103"/>
  <c r="AO57" i="103"/>
  <c r="Z57" i="103"/>
  <c r="W57" i="103"/>
  <c r="U57" i="103"/>
  <c r="T57" i="103"/>
  <c r="Q57" i="103"/>
  <c r="O57" i="103" s="1"/>
  <c r="M57" i="103"/>
  <c r="D57" i="103"/>
  <c r="EE56" i="103"/>
  <c r="EF56" i="103" s="1"/>
  <c r="DM56" i="103"/>
  <c r="DH56" i="103"/>
  <c r="DL56" i="103" s="1"/>
  <c r="DG56" i="103"/>
  <c r="DF56" i="103"/>
  <c r="DD56" i="103"/>
  <c r="CX56" i="103"/>
  <c r="CW56" i="103"/>
  <c r="DA56" i="103" s="1"/>
  <c r="CP56" i="103"/>
  <c r="CK56" i="103"/>
  <c r="CE56" i="103"/>
  <c r="CB56" i="103"/>
  <c r="CA56" i="103"/>
  <c r="BY56" i="103"/>
  <c r="BP56" i="103"/>
  <c r="BF56" i="103"/>
  <c r="BE56" i="103"/>
  <c r="BD56" i="103"/>
  <c r="AE56" i="103" s="1"/>
  <c r="BC56" i="103"/>
  <c r="AO56" i="103"/>
  <c r="Z56" i="103"/>
  <c r="W56" i="103"/>
  <c r="U56" i="103"/>
  <c r="T56" i="103"/>
  <c r="Q56" i="103"/>
  <c r="O56" i="103" s="1"/>
  <c r="M56" i="103"/>
  <c r="D56" i="103"/>
  <c r="EE55" i="103"/>
  <c r="EF55" i="103" s="1"/>
  <c r="DM55" i="103"/>
  <c r="DH55" i="103"/>
  <c r="DI55" i="103" s="1"/>
  <c r="DG55" i="103"/>
  <c r="DF55" i="103"/>
  <c r="DD55" i="103"/>
  <c r="CW55" i="103"/>
  <c r="CP55" i="103"/>
  <c r="CK55" i="103"/>
  <c r="CE55" i="103"/>
  <c r="CB55" i="103"/>
  <c r="CA55" i="103"/>
  <c r="BY55" i="103"/>
  <c r="BP55" i="103"/>
  <c r="BF55" i="103"/>
  <c r="BE55" i="103"/>
  <c r="BD55" i="103"/>
  <c r="BC55" i="103"/>
  <c r="AO55" i="103"/>
  <c r="Z55" i="103"/>
  <c r="W55" i="103"/>
  <c r="U55" i="103"/>
  <c r="T55" i="103"/>
  <c r="Q55" i="103"/>
  <c r="O55" i="103" s="1"/>
  <c r="M55" i="103"/>
  <c r="D55" i="103"/>
  <c r="EE54" i="103"/>
  <c r="EF54" i="103" s="1"/>
  <c r="DM54" i="103"/>
  <c r="DH54" i="103"/>
  <c r="DI54" i="103" s="1"/>
  <c r="DG54" i="103"/>
  <c r="DF54" i="103"/>
  <c r="CX54" i="103" s="1"/>
  <c r="DD54" i="103"/>
  <c r="CW54" i="103"/>
  <c r="DB54" i="103" s="1"/>
  <c r="CP54" i="103"/>
  <c r="CK54" i="103"/>
  <c r="CE54" i="103"/>
  <c r="CB54" i="103"/>
  <c r="CA54" i="103"/>
  <c r="BY54" i="103"/>
  <c r="BP54" i="103"/>
  <c r="BF54" i="103"/>
  <c r="BE54" i="103"/>
  <c r="BD54" i="103"/>
  <c r="BC54" i="103"/>
  <c r="AO54" i="103"/>
  <c r="AD54" i="103"/>
  <c r="Z54" i="103"/>
  <c r="W54" i="103"/>
  <c r="U54" i="103"/>
  <c r="T54" i="103"/>
  <c r="Q54" i="103"/>
  <c r="O54" i="103" s="1"/>
  <c r="M54" i="103"/>
  <c r="D54" i="103"/>
  <c r="EF53" i="103"/>
  <c r="EE53" i="103"/>
  <c r="DM53" i="103"/>
  <c r="DH53" i="103"/>
  <c r="DL53" i="103" s="1"/>
  <c r="DG53" i="103"/>
  <c r="CV53" i="103" s="1"/>
  <c r="BZ53" i="103" s="1"/>
  <c r="DF53" i="103"/>
  <c r="DD53" i="103"/>
  <c r="CX53" i="103"/>
  <c r="CW53" i="103"/>
  <c r="DA53" i="103" s="1"/>
  <c r="CP53" i="103"/>
  <c r="CK53" i="103"/>
  <c r="CE53" i="103"/>
  <c r="CB53" i="103"/>
  <c r="CA53" i="103"/>
  <c r="BY53" i="103"/>
  <c r="BP53" i="103"/>
  <c r="BF53" i="103"/>
  <c r="BE53" i="103"/>
  <c r="BD53" i="103"/>
  <c r="BC53" i="103"/>
  <c r="AO53" i="103"/>
  <c r="Z53" i="103"/>
  <c r="W53" i="103"/>
  <c r="U53" i="103"/>
  <c r="T53" i="103"/>
  <c r="Q53" i="103"/>
  <c r="O53" i="103" s="1"/>
  <c r="M53" i="103"/>
  <c r="D53" i="103"/>
  <c r="EE52" i="103"/>
  <c r="EF52" i="103" s="1"/>
  <c r="DM52" i="103"/>
  <c r="DH52" i="103"/>
  <c r="DI52" i="103" s="1"/>
  <c r="DG52" i="103"/>
  <c r="DF52" i="103"/>
  <c r="CX52" i="103" s="1"/>
  <c r="DD52" i="103"/>
  <c r="CW52" i="103"/>
  <c r="DB52" i="103" s="1"/>
  <c r="CP52" i="103"/>
  <c r="CK52" i="103"/>
  <c r="CE52" i="103"/>
  <c r="CB52" i="103"/>
  <c r="CA52" i="103"/>
  <c r="BY52" i="103"/>
  <c r="BF52" i="103" s="1"/>
  <c r="BP52" i="103"/>
  <c r="BE52" i="103"/>
  <c r="BD52" i="103"/>
  <c r="BC52" i="103"/>
  <c r="AO52" i="103"/>
  <c r="AD52" i="103"/>
  <c r="Z52" i="103"/>
  <c r="W52" i="103"/>
  <c r="U52" i="103"/>
  <c r="T52" i="103"/>
  <c r="Q52" i="103"/>
  <c r="O52" i="103" s="1"/>
  <c r="M52" i="103"/>
  <c r="D52" i="103"/>
  <c r="EE51" i="103"/>
  <c r="EF51" i="103" s="1"/>
  <c r="DM51" i="103"/>
  <c r="DH51" i="103"/>
  <c r="DL51" i="103" s="1"/>
  <c r="DG51" i="103"/>
  <c r="DF51" i="103"/>
  <c r="DD51" i="103"/>
  <c r="CX51" i="103"/>
  <c r="CW51" i="103"/>
  <c r="DA51" i="103" s="1"/>
  <c r="CP51" i="103"/>
  <c r="CK51" i="103"/>
  <c r="CE51" i="103"/>
  <c r="CB51" i="103"/>
  <c r="CA51" i="103"/>
  <c r="BY51" i="103"/>
  <c r="BP51" i="103"/>
  <c r="BF51" i="103"/>
  <c r="BE51" i="103"/>
  <c r="BD51" i="103"/>
  <c r="BC51" i="103"/>
  <c r="AP51" i="103"/>
  <c r="AO51" i="103"/>
  <c r="Z51" i="103"/>
  <c r="W51" i="103"/>
  <c r="U51" i="103"/>
  <c r="T51" i="103"/>
  <c r="Q51" i="103"/>
  <c r="O51" i="103" s="1"/>
  <c r="M51" i="103"/>
  <c r="D51" i="103"/>
  <c r="EE50" i="103"/>
  <c r="EF50" i="103" s="1"/>
  <c r="DM50" i="103"/>
  <c r="DH50" i="103"/>
  <c r="DI50" i="103" s="1"/>
  <c r="DG50" i="103"/>
  <c r="DF50" i="103"/>
  <c r="CX50" i="103" s="1"/>
  <c r="DD50" i="103"/>
  <c r="CW50" i="103"/>
  <c r="DB50" i="103" s="1"/>
  <c r="CP50" i="103"/>
  <c r="CK50" i="103"/>
  <c r="CE50" i="103"/>
  <c r="CB50" i="103"/>
  <c r="CA50" i="103"/>
  <c r="BY50" i="103"/>
  <c r="BP50" i="103"/>
  <c r="BF50" i="103"/>
  <c r="BE50" i="103"/>
  <c r="AD50" i="103" s="1"/>
  <c r="BD50" i="103"/>
  <c r="BC50" i="103"/>
  <c r="AO50" i="103"/>
  <c r="Z50" i="103"/>
  <c r="W50" i="103"/>
  <c r="U50" i="103"/>
  <c r="T50" i="103"/>
  <c r="Q50" i="103"/>
  <c r="O50" i="103" s="1"/>
  <c r="M50" i="103"/>
  <c r="D50" i="103"/>
  <c r="EM61" i="103" l="1"/>
  <c r="DB56" i="103"/>
  <c r="AE55" i="103"/>
  <c r="X56" i="103"/>
  <c r="CJ56" i="103" s="1"/>
  <c r="X50" i="103"/>
  <c r="CJ50" i="103" s="1"/>
  <c r="AE60" i="103"/>
  <c r="AR60" i="103" s="1"/>
  <c r="X61" i="103"/>
  <c r="CJ61" i="103" s="1"/>
  <c r="X52" i="103"/>
  <c r="CJ52" i="103" s="1"/>
  <c r="EM53" i="103"/>
  <c r="DB53" i="103"/>
  <c r="EM54" i="103"/>
  <c r="AE54" i="103"/>
  <c r="AR54" i="103" s="1"/>
  <c r="X55" i="103"/>
  <c r="CJ55" i="103" s="1"/>
  <c r="EM55" i="103"/>
  <c r="DL55" i="103"/>
  <c r="DB58" i="103"/>
  <c r="CV60" i="103"/>
  <c r="BZ60" i="103" s="1"/>
  <c r="DI60" i="103"/>
  <c r="DL61" i="103"/>
  <c r="CZ27" i="103"/>
  <c r="CZ25" i="103"/>
  <c r="AE51" i="103"/>
  <c r="AR51" i="103" s="1"/>
  <c r="CV51" i="103"/>
  <c r="BZ51" i="103" s="1"/>
  <c r="DI51" i="103"/>
  <c r="X51" i="103"/>
  <c r="CJ51" i="103" s="1"/>
  <c r="X54" i="103"/>
  <c r="CJ54" i="103" s="1"/>
  <c r="X57" i="103"/>
  <c r="CJ57" i="103" s="1"/>
  <c r="X59" i="103"/>
  <c r="CJ59" i="103" s="1"/>
  <c r="X60" i="103"/>
  <c r="CJ60" i="103" s="1"/>
  <c r="CD57" i="103"/>
  <c r="AA57" i="103"/>
  <c r="CD61" i="103"/>
  <c r="CC61" i="103" s="1"/>
  <c r="AA61" i="103"/>
  <c r="EM50" i="103"/>
  <c r="AE50" i="103"/>
  <c r="AR50" i="103" s="1"/>
  <c r="EM51" i="103"/>
  <c r="DB51" i="103"/>
  <c r="EM52" i="103"/>
  <c r="AE52" i="103"/>
  <c r="X53" i="103"/>
  <c r="CJ53" i="103" s="1"/>
  <c r="DI53" i="103"/>
  <c r="CV56" i="103"/>
  <c r="EN56" i="103" s="1"/>
  <c r="DI56" i="103"/>
  <c r="DI58" i="103"/>
  <c r="EM59" i="103"/>
  <c r="DL59" i="103"/>
  <c r="DB60" i="103"/>
  <c r="AE61" i="103"/>
  <c r="AR61" i="103" s="1"/>
  <c r="CZ22" i="103"/>
  <c r="DC26" i="103"/>
  <c r="CU26" i="103" s="1"/>
  <c r="AR52" i="103"/>
  <c r="EM57" i="103"/>
  <c r="AE57" i="103"/>
  <c r="AR57" i="103" s="1"/>
  <c r="BB59" i="103"/>
  <c r="CD25" i="103"/>
  <c r="CC25" i="103" s="1"/>
  <c r="AA25" i="103"/>
  <c r="BB23" i="103"/>
  <c r="AQ23" i="103"/>
  <c r="AP23" i="103"/>
  <c r="AR23" i="103"/>
  <c r="AC23" i="103"/>
  <c r="BB22" i="103"/>
  <c r="DC22" i="103" s="1"/>
  <c r="AQ22" i="103"/>
  <c r="AR22" i="103"/>
  <c r="AP22" i="103"/>
  <c r="AC22" i="103"/>
  <c r="BB20" i="103"/>
  <c r="AQ20" i="103"/>
  <c r="AR20" i="103"/>
  <c r="AP20" i="103"/>
  <c r="AC20" i="103"/>
  <c r="EN16" i="103"/>
  <c r="BZ16" i="103"/>
  <c r="DC16" i="103"/>
  <c r="AA26" i="103"/>
  <c r="EN24" i="103"/>
  <c r="BZ24" i="103"/>
  <c r="DC24" i="103"/>
  <c r="CD21" i="103"/>
  <c r="CC21" i="103" s="1"/>
  <c r="AA21" i="103"/>
  <c r="AA18" i="103"/>
  <c r="EN27" i="103"/>
  <c r="BZ27" i="103"/>
  <c r="DC27" i="103"/>
  <c r="EN25" i="103"/>
  <c r="BZ25" i="103"/>
  <c r="DC25" i="103"/>
  <c r="EN22" i="103"/>
  <c r="BZ22" i="103"/>
  <c r="EN21" i="103"/>
  <c r="BZ21" i="103"/>
  <c r="DC21" i="103"/>
  <c r="EN19" i="103"/>
  <c r="BZ19" i="103"/>
  <c r="DC19" i="103"/>
  <c r="CD19" i="103"/>
  <c r="CC19" i="103" s="1"/>
  <c r="AA19" i="103"/>
  <c r="CD16" i="103"/>
  <c r="CC16" i="103" s="1"/>
  <c r="AA16" i="103"/>
  <c r="DC18" i="103"/>
  <c r="CU18" i="103" s="1"/>
  <c r="BZ56" i="103"/>
  <c r="AQ50" i="103"/>
  <c r="BB50" i="103"/>
  <c r="CY50" i="103"/>
  <c r="CZ50" i="103" s="1"/>
  <c r="DA50" i="103"/>
  <c r="DL50" i="103"/>
  <c r="EN51" i="103"/>
  <c r="AQ52" i="103"/>
  <c r="BB52" i="103"/>
  <c r="CY52" i="103"/>
  <c r="CZ52" i="103" s="1"/>
  <c r="DA52" i="103"/>
  <c r="DL52" i="103"/>
  <c r="AQ54" i="103"/>
  <c r="BB54" i="103"/>
  <c r="CY54" i="103"/>
  <c r="CZ54" i="103" s="1"/>
  <c r="DA54" i="103"/>
  <c r="DL54" i="103"/>
  <c r="DA55" i="103"/>
  <c r="AQ57" i="103"/>
  <c r="CC57" i="103"/>
  <c r="CX57" i="103"/>
  <c r="CZ57" i="103" s="1"/>
  <c r="CV57" i="103"/>
  <c r="EM58" i="103"/>
  <c r="AD58" i="103"/>
  <c r="DA59" i="103"/>
  <c r="EM60" i="103"/>
  <c r="BB60" i="103"/>
  <c r="CD60" i="103" s="1"/>
  <c r="DC60" i="103"/>
  <c r="CU60" i="103" s="1"/>
  <c r="DA61" i="103"/>
  <c r="AE53" i="103"/>
  <c r="EN53" i="103"/>
  <c r="AC50" i="103"/>
  <c r="AP50" i="103"/>
  <c r="CV50" i="103"/>
  <c r="AQ51" i="103"/>
  <c r="BB51" i="103"/>
  <c r="CD51" i="103" s="1"/>
  <c r="CC51" i="103" s="1"/>
  <c r="CY51" i="103"/>
  <c r="CZ51" i="103" s="1"/>
  <c r="AC52" i="103"/>
  <c r="AP52" i="103"/>
  <c r="CV52" i="103"/>
  <c r="AD53" i="103"/>
  <c r="CY53" i="103"/>
  <c r="CZ53" i="103" s="1"/>
  <c r="AC54" i="103"/>
  <c r="AP54" i="103"/>
  <c r="CV54" i="103"/>
  <c r="AD55" i="103"/>
  <c r="CY55" i="103"/>
  <c r="CX55" i="103"/>
  <c r="DB55" i="103" s="1"/>
  <c r="CV55" i="103"/>
  <c r="EM56" i="103"/>
  <c r="AD56" i="103"/>
  <c r="DB57" i="103"/>
  <c r="DA57" i="103"/>
  <c r="DL57" i="103"/>
  <c r="X58" i="103"/>
  <c r="CJ58" i="103" s="1"/>
  <c r="EN58" i="103"/>
  <c r="AQ59" i="103"/>
  <c r="CY59" i="103"/>
  <c r="CX59" i="103"/>
  <c r="DB59" i="103" s="1"/>
  <c r="CV59" i="103"/>
  <c r="CC60" i="103"/>
  <c r="EN60" i="103"/>
  <c r="AP61" i="103"/>
  <c r="AC61" i="103"/>
  <c r="AQ61" i="103"/>
  <c r="CY61" i="103"/>
  <c r="CX61" i="103"/>
  <c r="DB61" i="103" s="1"/>
  <c r="CV61" i="103"/>
  <c r="CY56" i="103"/>
  <c r="CZ56" i="103" s="1"/>
  <c r="CY58" i="103"/>
  <c r="CZ58" i="103" s="1"/>
  <c r="AP59" i="103"/>
  <c r="AQ60" i="103"/>
  <c r="CY60" i="103"/>
  <c r="CZ60" i="103" s="1"/>
  <c r="EE40" i="149"/>
  <c r="EF40" i="149" s="1"/>
  <c r="DM40" i="149"/>
  <c r="DH40" i="149"/>
  <c r="DI40" i="149" s="1"/>
  <c r="DG40" i="149"/>
  <c r="DF40" i="149"/>
  <c r="CX40" i="149" s="1"/>
  <c r="DD40" i="149"/>
  <c r="CW40" i="149"/>
  <c r="DB40" i="149" s="1"/>
  <c r="CP40" i="149"/>
  <c r="CK40" i="149"/>
  <c r="CE40" i="149"/>
  <c r="CB40" i="149"/>
  <c r="CA40" i="149"/>
  <c r="BY40" i="149"/>
  <c r="BP40" i="149"/>
  <c r="BF40" i="149"/>
  <c r="BE40" i="149"/>
  <c r="BD40" i="149"/>
  <c r="BC40" i="149"/>
  <c r="AO40" i="149"/>
  <c r="AD40" i="149"/>
  <c r="Z40" i="149"/>
  <c r="W40" i="149"/>
  <c r="U40" i="149"/>
  <c r="T40" i="149"/>
  <c r="Q40" i="149"/>
  <c r="O40" i="149" s="1"/>
  <c r="M40" i="149"/>
  <c r="D40" i="149"/>
  <c r="EE39" i="149"/>
  <c r="EF39" i="149" s="1"/>
  <c r="DM39" i="149"/>
  <c r="DH39" i="149"/>
  <c r="DL39" i="149" s="1"/>
  <c r="DG39" i="149"/>
  <c r="DF39" i="149"/>
  <c r="DD39" i="149"/>
  <c r="CX39" i="149"/>
  <c r="CW39" i="149"/>
  <c r="DA39" i="149" s="1"/>
  <c r="CP39" i="149"/>
  <c r="CK39" i="149"/>
  <c r="CE39" i="149"/>
  <c r="CB39" i="149"/>
  <c r="CA39" i="149"/>
  <c r="BY39" i="149"/>
  <c r="BP39" i="149"/>
  <c r="BF39" i="149"/>
  <c r="BE39" i="149"/>
  <c r="BD39" i="149"/>
  <c r="BC39" i="149"/>
  <c r="AP39" i="149"/>
  <c r="AO39" i="149"/>
  <c r="Z39" i="149"/>
  <c r="W39" i="149"/>
  <c r="U39" i="149"/>
  <c r="T39" i="149"/>
  <c r="Q39" i="149"/>
  <c r="O39" i="149" s="1"/>
  <c r="M39" i="149"/>
  <c r="D39" i="149"/>
  <c r="EE38" i="149"/>
  <c r="EF38" i="149" s="1"/>
  <c r="DM38" i="149"/>
  <c r="DH38" i="149"/>
  <c r="DI38" i="149" s="1"/>
  <c r="DG38" i="149"/>
  <c r="DF38" i="149"/>
  <c r="DD38" i="149"/>
  <c r="CW38" i="149"/>
  <c r="CP38" i="149"/>
  <c r="CK38" i="149"/>
  <c r="CE38" i="149"/>
  <c r="CB38" i="149"/>
  <c r="CA38" i="149"/>
  <c r="BY38" i="149"/>
  <c r="BP38" i="149"/>
  <c r="BF38" i="149"/>
  <c r="BE38" i="149"/>
  <c r="BB38" i="149" s="1"/>
  <c r="BD38" i="149"/>
  <c r="BC38" i="149"/>
  <c r="AP38" i="149"/>
  <c r="AO38" i="149"/>
  <c r="Z38" i="149"/>
  <c r="W38" i="149"/>
  <c r="U38" i="149"/>
  <c r="T38" i="149"/>
  <c r="Q38" i="149"/>
  <c r="O38" i="149" s="1"/>
  <c r="M38" i="149"/>
  <c r="D38" i="149"/>
  <c r="EE37" i="149"/>
  <c r="EF37" i="149" s="1"/>
  <c r="DM37" i="149"/>
  <c r="DH37" i="149"/>
  <c r="DL37" i="149" s="1"/>
  <c r="DG37" i="149"/>
  <c r="DF37" i="149"/>
  <c r="DD37" i="149"/>
  <c r="CX37" i="149"/>
  <c r="CW37" i="149"/>
  <c r="DA37" i="149" s="1"/>
  <c r="CP37" i="149"/>
  <c r="CK37" i="149"/>
  <c r="CE37" i="149"/>
  <c r="CB37" i="149"/>
  <c r="CA37" i="149"/>
  <c r="BZ37" i="149"/>
  <c r="BY37" i="149"/>
  <c r="BF37" i="149" s="1"/>
  <c r="BE37" i="149"/>
  <c r="BB37" i="149" s="1"/>
  <c r="CD37" i="149" s="1"/>
  <c r="BD37" i="149"/>
  <c r="BC37" i="149"/>
  <c r="AA37" i="149" s="1"/>
  <c r="AP37" i="149"/>
  <c r="AO37" i="149"/>
  <c r="Z37" i="149"/>
  <c r="W37" i="149"/>
  <c r="U37" i="149"/>
  <c r="T37" i="149"/>
  <c r="Q37" i="149"/>
  <c r="O37" i="149" s="1"/>
  <c r="M37" i="149"/>
  <c r="D37" i="149"/>
  <c r="EE36" i="149"/>
  <c r="EF36" i="149" s="1"/>
  <c r="DM36" i="149"/>
  <c r="DH36" i="149"/>
  <c r="DL36" i="149" s="1"/>
  <c r="DG36" i="149"/>
  <c r="DF36" i="149"/>
  <c r="DD36" i="149"/>
  <c r="CX36" i="149"/>
  <c r="CW36" i="149"/>
  <c r="DA36" i="149" s="1"/>
  <c r="CP36" i="149"/>
  <c r="CK36" i="149"/>
  <c r="CE36" i="149"/>
  <c r="CB36" i="149"/>
  <c r="CA36" i="149"/>
  <c r="BY36" i="149"/>
  <c r="BP36" i="149"/>
  <c r="BF36" i="149"/>
  <c r="BE36" i="149"/>
  <c r="BD36" i="149"/>
  <c r="BC36" i="149"/>
  <c r="AP36" i="149"/>
  <c r="AO36" i="149"/>
  <c r="Z36" i="149"/>
  <c r="W36" i="149"/>
  <c r="U36" i="149"/>
  <c r="T36" i="149"/>
  <c r="Q36" i="149"/>
  <c r="O36" i="149" s="1"/>
  <c r="M36" i="149"/>
  <c r="D36" i="149"/>
  <c r="EE35" i="149"/>
  <c r="EF35" i="149" s="1"/>
  <c r="DM35" i="149"/>
  <c r="DH35" i="149"/>
  <c r="DI35" i="149" s="1"/>
  <c r="DG35" i="149"/>
  <c r="DF35" i="149"/>
  <c r="CX35" i="149" s="1"/>
  <c r="DD35" i="149"/>
  <c r="CW35" i="149"/>
  <c r="DB35" i="149" s="1"/>
  <c r="CP35" i="149"/>
  <c r="CK35" i="149"/>
  <c r="CE35" i="149"/>
  <c r="CB35" i="149"/>
  <c r="CA35" i="149"/>
  <c r="BZ35" i="149"/>
  <c r="BY35" i="149"/>
  <c r="BF35" i="149" s="1"/>
  <c r="BE35" i="149"/>
  <c r="BB35" i="149" s="1"/>
  <c r="CD35" i="149" s="1"/>
  <c r="BD35" i="149"/>
  <c r="BC35" i="149"/>
  <c r="AA35" i="149" s="1"/>
  <c r="AP35" i="149"/>
  <c r="AO35" i="149"/>
  <c r="AQ35" i="149" s="1"/>
  <c r="Z35" i="149"/>
  <c r="W35" i="149"/>
  <c r="U35" i="149"/>
  <c r="T35" i="149"/>
  <c r="Q35" i="149"/>
  <c r="O35" i="149" s="1"/>
  <c r="M35" i="149"/>
  <c r="D35" i="149"/>
  <c r="EE34" i="149"/>
  <c r="EF34" i="149" s="1"/>
  <c r="DM34" i="149"/>
  <c r="DH34" i="149"/>
  <c r="DI34" i="149" s="1"/>
  <c r="DG34" i="149"/>
  <c r="DF34" i="149"/>
  <c r="CX34" i="149" s="1"/>
  <c r="DD34" i="149"/>
  <c r="CW34" i="149"/>
  <c r="DB34" i="149" s="1"/>
  <c r="CP34" i="149"/>
  <c r="CK34" i="149"/>
  <c r="CE34" i="149"/>
  <c r="CB34" i="149"/>
  <c r="CA34" i="149"/>
  <c r="BZ34" i="149"/>
  <c r="BY34" i="149"/>
  <c r="BF34" i="149" s="1"/>
  <c r="BE34" i="149"/>
  <c r="BB34" i="149" s="1"/>
  <c r="CD34" i="149" s="1"/>
  <c r="BD34" i="149"/>
  <c r="BC34" i="149"/>
  <c r="AA34" i="149" s="1"/>
  <c r="AP34" i="149"/>
  <c r="AO34" i="149"/>
  <c r="AQ34" i="149" s="1"/>
  <c r="Z34" i="149"/>
  <c r="W34" i="149"/>
  <c r="U34" i="149"/>
  <c r="T34" i="149"/>
  <c r="Q34" i="149"/>
  <c r="O34" i="149" s="1"/>
  <c r="M34" i="149"/>
  <c r="D34" i="149"/>
  <c r="EE33" i="149"/>
  <c r="EF33" i="149" s="1"/>
  <c r="DM33" i="149"/>
  <c r="DH33" i="149"/>
  <c r="DI33" i="149" s="1"/>
  <c r="DG33" i="149"/>
  <c r="DF33" i="149"/>
  <c r="CX33" i="149" s="1"/>
  <c r="DD33" i="149"/>
  <c r="CW33" i="149"/>
  <c r="DB33" i="149" s="1"/>
  <c r="CP33" i="149"/>
  <c r="CK33" i="149"/>
  <c r="CE33" i="149"/>
  <c r="CB33" i="149"/>
  <c r="CA33" i="149"/>
  <c r="BY33" i="149"/>
  <c r="BF33" i="149" s="1"/>
  <c r="BE33" i="149"/>
  <c r="BD33" i="149"/>
  <c r="BC33" i="149"/>
  <c r="AP33" i="149"/>
  <c r="AO33" i="149"/>
  <c r="AQ33" i="149" s="1"/>
  <c r="Z33" i="149"/>
  <c r="W33" i="149"/>
  <c r="U33" i="149"/>
  <c r="T33" i="149"/>
  <c r="Q33" i="149"/>
  <c r="O33" i="149" s="1"/>
  <c r="M33" i="149"/>
  <c r="D33" i="149"/>
  <c r="EE32" i="149"/>
  <c r="EF32" i="149" s="1"/>
  <c r="DM32" i="149"/>
  <c r="DH32" i="149"/>
  <c r="DL32" i="149" s="1"/>
  <c r="DG32" i="149"/>
  <c r="DF32" i="149"/>
  <c r="DD32" i="149"/>
  <c r="CX32" i="149"/>
  <c r="CW32" i="149"/>
  <c r="DA32" i="149" s="1"/>
  <c r="CP32" i="149"/>
  <c r="CK32" i="149"/>
  <c r="CE32" i="149"/>
  <c r="CB32" i="149"/>
  <c r="CA32" i="149"/>
  <c r="BY32" i="149"/>
  <c r="BF32" i="149" s="1"/>
  <c r="BE32" i="149"/>
  <c r="BD32" i="149"/>
  <c r="BC32" i="149"/>
  <c r="AP32" i="149"/>
  <c r="AO32" i="149"/>
  <c r="Z32" i="149"/>
  <c r="W32" i="149"/>
  <c r="X32" i="149" s="1"/>
  <c r="CJ32" i="149" s="1"/>
  <c r="U32" i="149"/>
  <c r="T32" i="149"/>
  <c r="Q32" i="149"/>
  <c r="O32" i="149" s="1"/>
  <c r="M32" i="149"/>
  <c r="D32" i="149"/>
  <c r="EE31" i="149"/>
  <c r="EF31" i="149" s="1"/>
  <c r="DM31" i="149"/>
  <c r="DH31" i="149"/>
  <c r="DL31" i="149" s="1"/>
  <c r="DG31" i="149"/>
  <c r="DF31" i="149"/>
  <c r="DD31" i="149"/>
  <c r="CX31" i="149"/>
  <c r="CW31" i="149"/>
  <c r="DA31" i="149" s="1"/>
  <c r="CP31" i="149"/>
  <c r="CK31" i="149"/>
  <c r="CE31" i="149"/>
  <c r="CB31" i="149"/>
  <c r="CA31" i="149"/>
  <c r="BY31" i="149"/>
  <c r="BF31" i="149" s="1"/>
  <c r="BE31" i="149"/>
  <c r="BD31" i="149"/>
  <c r="BC31" i="149"/>
  <c r="AP31" i="149"/>
  <c r="AO31" i="149"/>
  <c r="Z31" i="149"/>
  <c r="W31" i="149"/>
  <c r="X31" i="149" s="1"/>
  <c r="CJ31" i="149" s="1"/>
  <c r="U31" i="149"/>
  <c r="T31" i="149"/>
  <c r="Q31" i="149"/>
  <c r="O31" i="149" s="1"/>
  <c r="M31" i="149"/>
  <c r="D31" i="149"/>
  <c r="EE30" i="149"/>
  <c r="EF30" i="149" s="1"/>
  <c r="DM30" i="149"/>
  <c r="DH30" i="149"/>
  <c r="DI30" i="149" s="1"/>
  <c r="DG30" i="149"/>
  <c r="DF30" i="149"/>
  <c r="CX30" i="149" s="1"/>
  <c r="DD30" i="149"/>
  <c r="CW30" i="149"/>
  <c r="DB30" i="149" s="1"/>
  <c r="CP30" i="149"/>
  <c r="CK30" i="149"/>
  <c r="CE30" i="149"/>
  <c r="CB30" i="149"/>
  <c r="CA30" i="149"/>
  <c r="BY30" i="149"/>
  <c r="BP30" i="149"/>
  <c r="BF30" i="149"/>
  <c r="BE30" i="149"/>
  <c r="BB30" i="149" s="1"/>
  <c r="BD30" i="149"/>
  <c r="BC30" i="149"/>
  <c r="AP30" i="149"/>
  <c r="AO30" i="149"/>
  <c r="Z30" i="149"/>
  <c r="W30" i="149"/>
  <c r="U30" i="149"/>
  <c r="T30" i="149"/>
  <c r="Q30" i="149"/>
  <c r="O30" i="149" s="1"/>
  <c r="M30" i="149"/>
  <c r="D30" i="149"/>
  <c r="EE29" i="149"/>
  <c r="EF29" i="149" s="1"/>
  <c r="DH29" i="149"/>
  <c r="DG29" i="149"/>
  <c r="DF29" i="149"/>
  <c r="DD29" i="149"/>
  <c r="CX29" i="149"/>
  <c r="CW29" i="149"/>
  <c r="DA29" i="149" s="1"/>
  <c r="CP29" i="149"/>
  <c r="CK29" i="149"/>
  <c r="DN29" i="149" s="1"/>
  <c r="CE29" i="149"/>
  <c r="CB29" i="149"/>
  <c r="CA29" i="149"/>
  <c r="BY29" i="149"/>
  <c r="BF29" i="149" s="1"/>
  <c r="BE29" i="149"/>
  <c r="BB29" i="149" s="1"/>
  <c r="BD29" i="149"/>
  <c r="BC29" i="149"/>
  <c r="AP29" i="149"/>
  <c r="AO29" i="149"/>
  <c r="Z29" i="149"/>
  <c r="W29" i="149"/>
  <c r="U29" i="149"/>
  <c r="T29" i="149"/>
  <c r="Q29" i="149"/>
  <c r="O29" i="149" s="1"/>
  <c r="M29" i="149"/>
  <c r="D29" i="149"/>
  <c r="EE28" i="149"/>
  <c r="EF28" i="149" s="1"/>
  <c r="DM28" i="149"/>
  <c r="DH28" i="149"/>
  <c r="DG28" i="149"/>
  <c r="DF28" i="149"/>
  <c r="DD28" i="149"/>
  <c r="CX28" i="149"/>
  <c r="CW28" i="149"/>
  <c r="DA28" i="149" s="1"/>
  <c r="CP28" i="149"/>
  <c r="CK28" i="149"/>
  <c r="CE28" i="149"/>
  <c r="CB28" i="149"/>
  <c r="CA28" i="149"/>
  <c r="BY28" i="149"/>
  <c r="BF28" i="149" s="1"/>
  <c r="BE28" i="149"/>
  <c r="BB28" i="149" s="1"/>
  <c r="BD28" i="149"/>
  <c r="BC28" i="149"/>
  <c r="AP28" i="149"/>
  <c r="AO28" i="149"/>
  <c r="Z28" i="149"/>
  <c r="W28" i="149"/>
  <c r="U28" i="149"/>
  <c r="T28" i="149"/>
  <c r="Q28" i="149"/>
  <c r="O28" i="149" s="1"/>
  <c r="M28" i="149"/>
  <c r="D28" i="149"/>
  <c r="EE27" i="149"/>
  <c r="EF27" i="149" s="1"/>
  <c r="DM27" i="149"/>
  <c r="DH27" i="149"/>
  <c r="DG27" i="149"/>
  <c r="DF27" i="149"/>
  <c r="DD27" i="149"/>
  <c r="CX27" i="149"/>
  <c r="CW27" i="149"/>
  <c r="DA27" i="149" s="1"/>
  <c r="CP27" i="149"/>
  <c r="CK27" i="149"/>
  <c r="CE27" i="149"/>
  <c r="CB27" i="149"/>
  <c r="CA27" i="149"/>
  <c r="BY27" i="149"/>
  <c r="BF27" i="149" s="1"/>
  <c r="BE27" i="149"/>
  <c r="BB27" i="149" s="1"/>
  <c r="BD27" i="149"/>
  <c r="BC27" i="149"/>
  <c r="AP27" i="149"/>
  <c r="AO27" i="149"/>
  <c r="Z27" i="149"/>
  <c r="W27" i="149"/>
  <c r="U27" i="149"/>
  <c r="T27" i="149"/>
  <c r="Q27" i="149"/>
  <c r="O27" i="149" s="1"/>
  <c r="M27" i="149"/>
  <c r="D27" i="149"/>
  <c r="EE26" i="149"/>
  <c r="EF26" i="149" s="1"/>
  <c r="DM26" i="149"/>
  <c r="DH26" i="149"/>
  <c r="DG26" i="149"/>
  <c r="DF26" i="149"/>
  <c r="DD26" i="149"/>
  <c r="CX26" i="149"/>
  <c r="CW26" i="149"/>
  <c r="DA26" i="149" s="1"/>
  <c r="CP26" i="149"/>
  <c r="CK26" i="149"/>
  <c r="CE26" i="149"/>
  <c r="CB26" i="149"/>
  <c r="CA26" i="149"/>
  <c r="BY26" i="149"/>
  <c r="BF26" i="149" s="1"/>
  <c r="BE26" i="149"/>
  <c r="BB26" i="149" s="1"/>
  <c r="BD26" i="149"/>
  <c r="BC26" i="149"/>
  <c r="AP26" i="149"/>
  <c r="AO26" i="149"/>
  <c r="Z26" i="149"/>
  <c r="W26" i="149"/>
  <c r="U26" i="149"/>
  <c r="T26" i="149"/>
  <c r="Q26" i="149"/>
  <c r="O26" i="149" s="1"/>
  <c r="M26" i="149"/>
  <c r="D26" i="149"/>
  <c r="EE25" i="149"/>
  <c r="EF25" i="149" s="1"/>
  <c r="DM25" i="149"/>
  <c r="DH25" i="149"/>
  <c r="DG25" i="149"/>
  <c r="DF25" i="149"/>
  <c r="DD25" i="149"/>
  <c r="CX25" i="149"/>
  <c r="CW25" i="149"/>
  <c r="DA25" i="149" s="1"/>
  <c r="CP25" i="149"/>
  <c r="CK25" i="149"/>
  <c r="CE25" i="149"/>
  <c r="CB25" i="149"/>
  <c r="CA25" i="149"/>
  <c r="BY25" i="149"/>
  <c r="BF25" i="149" s="1"/>
  <c r="BE25" i="149"/>
  <c r="BB25" i="149" s="1"/>
  <c r="BD25" i="149"/>
  <c r="BC25" i="149"/>
  <c r="AP25" i="149"/>
  <c r="AO25" i="149"/>
  <c r="Z25" i="149"/>
  <c r="W25" i="149"/>
  <c r="U25" i="149"/>
  <c r="T25" i="149"/>
  <c r="Q25" i="149"/>
  <c r="O25" i="149" s="1"/>
  <c r="M25" i="149"/>
  <c r="D25" i="149"/>
  <c r="EE24" i="149"/>
  <c r="EF24" i="149" s="1"/>
  <c r="DM24" i="149"/>
  <c r="DH24" i="149"/>
  <c r="DG24" i="149"/>
  <c r="DF24" i="149"/>
  <c r="DD24" i="149"/>
  <c r="CX24" i="149"/>
  <c r="CW24" i="149"/>
  <c r="DA24" i="149" s="1"/>
  <c r="CP24" i="149"/>
  <c r="CK24" i="149"/>
  <c r="CE24" i="149"/>
  <c r="CB24" i="149"/>
  <c r="CA24" i="149"/>
  <c r="BY24" i="149"/>
  <c r="BF24" i="149" s="1"/>
  <c r="BE24" i="149"/>
  <c r="BB24" i="149" s="1"/>
  <c r="BD24" i="149"/>
  <c r="BC24" i="149"/>
  <c r="AP24" i="149"/>
  <c r="AO24" i="149"/>
  <c r="Z24" i="149"/>
  <c r="W24" i="149"/>
  <c r="U24" i="149"/>
  <c r="T24" i="149"/>
  <c r="Q24" i="149"/>
  <c r="O24" i="149" s="1"/>
  <c r="M24" i="149"/>
  <c r="D24" i="149"/>
  <c r="EE23" i="149"/>
  <c r="EF23" i="149" s="1"/>
  <c r="DM23" i="149"/>
  <c r="DH23" i="149"/>
  <c r="DG23" i="149"/>
  <c r="DF23" i="149"/>
  <c r="DD23" i="149"/>
  <c r="CX23" i="149"/>
  <c r="CW23" i="149"/>
  <c r="DA23" i="149" s="1"/>
  <c r="CP23" i="149"/>
  <c r="CK23" i="149"/>
  <c r="CE23" i="149"/>
  <c r="CB23" i="149"/>
  <c r="CA23" i="149"/>
  <c r="BY23" i="149"/>
  <c r="BP23" i="149"/>
  <c r="BF23" i="149"/>
  <c r="BE23" i="149"/>
  <c r="BD23" i="149"/>
  <c r="BC23" i="149"/>
  <c r="AP23" i="149"/>
  <c r="AO23" i="149"/>
  <c r="Z23" i="149"/>
  <c r="W23" i="149"/>
  <c r="U23" i="149"/>
  <c r="T23" i="149"/>
  <c r="Q23" i="149"/>
  <c r="O23" i="149" s="1"/>
  <c r="M23" i="149"/>
  <c r="D23" i="149"/>
  <c r="EE22" i="149"/>
  <c r="EF22" i="149" s="1"/>
  <c r="DM22" i="149"/>
  <c r="DH22" i="149"/>
  <c r="DI22" i="149" s="1"/>
  <c r="DG22" i="149"/>
  <c r="DF22" i="149"/>
  <c r="CX22" i="149" s="1"/>
  <c r="DD22" i="149"/>
  <c r="CW22" i="149"/>
  <c r="DB22" i="149" s="1"/>
  <c r="CP22" i="149"/>
  <c r="CK22" i="149"/>
  <c r="CE22" i="149"/>
  <c r="CB22" i="149"/>
  <c r="CA22" i="149"/>
  <c r="BY22" i="149"/>
  <c r="BP22" i="149"/>
  <c r="BF22" i="149"/>
  <c r="BE22" i="149"/>
  <c r="BB22" i="149" s="1"/>
  <c r="CD22" i="149" s="1"/>
  <c r="BD22" i="149"/>
  <c r="BC22" i="149"/>
  <c r="AP22" i="149"/>
  <c r="AO22" i="149"/>
  <c r="Z22" i="149"/>
  <c r="W22" i="149"/>
  <c r="U22" i="149"/>
  <c r="T22" i="149"/>
  <c r="Q22" i="149"/>
  <c r="O22" i="149" s="1"/>
  <c r="M22" i="149"/>
  <c r="D22" i="149"/>
  <c r="EE21" i="149"/>
  <c r="EF21" i="149" s="1"/>
  <c r="DM21" i="149"/>
  <c r="DH21" i="149"/>
  <c r="DL21" i="149" s="1"/>
  <c r="DG21" i="149"/>
  <c r="DF21" i="149"/>
  <c r="DD21" i="149"/>
  <c r="CX21" i="149"/>
  <c r="CW21" i="149"/>
  <c r="DA21" i="149" s="1"/>
  <c r="CP21" i="149"/>
  <c r="CK21" i="149"/>
  <c r="CE21" i="149"/>
  <c r="CB21" i="149"/>
  <c r="CA21" i="149"/>
  <c r="BY21" i="149"/>
  <c r="BP21" i="149"/>
  <c r="BF21" i="149"/>
  <c r="BE21" i="149"/>
  <c r="BD21" i="149"/>
  <c r="BC21" i="149"/>
  <c r="AP21" i="149"/>
  <c r="AO21" i="149"/>
  <c r="Z21" i="149"/>
  <c r="W21" i="149"/>
  <c r="U21" i="149"/>
  <c r="T21" i="149"/>
  <c r="Q21" i="149"/>
  <c r="O21" i="149" s="1"/>
  <c r="M21" i="149"/>
  <c r="D21" i="149"/>
  <c r="EE20" i="149"/>
  <c r="EF20" i="149" s="1"/>
  <c r="DM20" i="149"/>
  <c r="DH20" i="149"/>
  <c r="DL20" i="149" s="1"/>
  <c r="DG20" i="149"/>
  <c r="DF20" i="149"/>
  <c r="DD20" i="149"/>
  <c r="CX20" i="149"/>
  <c r="CW20" i="149"/>
  <c r="DA20" i="149" s="1"/>
  <c r="CP20" i="149"/>
  <c r="CK20" i="149"/>
  <c r="CE20" i="149"/>
  <c r="CB20" i="149"/>
  <c r="CA20" i="149"/>
  <c r="BY20" i="149"/>
  <c r="BF20" i="149" s="1"/>
  <c r="BE20" i="149"/>
  <c r="BD20" i="149"/>
  <c r="BC20" i="149"/>
  <c r="AP20" i="149"/>
  <c r="AO20" i="149"/>
  <c r="Z20" i="149"/>
  <c r="W20" i="149"/>
  <c r="U20" i="149"/>
  <c r="T20" i="149"/>
  <c r="Q20" i="149"/>
  <c r="O20" i="149" s="1"/>
  <c r="M20" i="149"/>
  <c r="D20" i="149"/>
  <c r="EE19" i="149"/>
  <c r="EF19" i="149" s="1"/>
  <c r="DM19" i="149"/>
  <c r="DH19" i="149"/>
  <c r="DI19" i="149" s="1"/>
  <c r="DG19" i="149"/>
  <c r="DF19" i="149"/>
  <c r="CX19" i="149" s="1"/>
  <c r="DD19" i="149"/>
  <c r="CW19" i="149"/>
  <c r="CP19" i="149"/>
  <c r="CK19" i="149"/>
  <c r="CE19" i="149"/>
  <c r="CB19" i="149"/>
  <c r="CA19" i="149"/>
  <c r="BY19" i="149"/>
  <c r="BP19" i="149"/>
  <c r="BF19" i="149"/>
  <c r="BE19" i="149"/>
  <c r="BB19" i="149" s="1"/>
  <c r="BD19" i="149"/>
  <c r="BC19" i="149"/>
  <c r="AP19" i="149"/>
  <c r="AO19" i="149"/>
  <c r="Z19" i="149"/>
  <c r="W19" i="149"/>
  <c r="U19" i="149"/>
  <c r="T19" i="149"/>
  <c r="Q19" i="149"/>
  <c r="O19" i="149" s="1"/>
  <c r="M19" i="149"/>
  <c r="D19" i="149"/>
  <c r="EE18" i="149"/>
  <c r="EF18" i="149" s="1"/>
  <c r="DM18" i="149"/>
  <c r="DH18" i="149"/>
  <c r="DL18" i="149" s="1"/>
  <c r="DG18" i="149"/>
  <c r="DF18" i="149"/>
  <c r="DD18" i="149"/>
  <c r="CX18" i="149"/>
  <c r="CW18" i="149"/>
  <c r="DA18" i="149" s="1"/>
  <c r="CP18" i="149"/>
  <c r="CK18" i="149"/>
  <c r="CE18" i="149"/>
  <c r="CB18" i="149"/>
  <c r="CA18" i="149"/>
  <c r="BY18" i="149"/>
  <c r="BP18" i="149"/>
  <c r="BF18" i="149"/>
  <c r="BE18" i="149"/>
  <c r="BD18" i="149"/>
  <c r="BC18" i="149"/>
  <c r="AP18" i="149"/>
  <c r="AO18" i="149"/>
  <c r="Z18" i="149"/>
  <c r="W18" i="149"/>
  <c r="U18" i="149"/>
  <c r="T18" i="149"/>
  <c r="Q18" i="149"/>
  <c r="O18" i="149" s="1"/>
  <c r="M18" i="149"/>
  <c r="D18" i="149"/>
  <c r="EE17" i="149"/>
  <c r="EF17" i="149" s="1"/>
  <c r="DM17" i="149"/>
  <c r="DH17" i="149"/>
  <c r="DL17" i="149" s="1"/>
  <c r="DG17" i="149"/>
  <c r="DF17" i="149"/>
  <c r="DD17" i="149"/>
  <c r="CX17" i="149"/>
  <c r="CW17" i="149"/>
  <c r="DA17" i="149" s="1"/>
  <c r="CP17" i="149"/>
  <c r="CK17" i="149"/>
  <c r="CE17" i="149"/>
  <c r="CB17" i="149"/>
  <c r="CA17" i="149"/>
  <c r="BY17" i="149"/>
  <c r="BP17" i="149"/>
  <c r="BF17" i="149"/>
  <c r="BE17" i="149"/>
  <c r="BD17" i="149"/>
  <c r="BC17" i="149"/>
  <c r="AP17" i="149"/>
  <c r="AO17" i="149"/>
  <c r="Z17" i="149"/>
  <c r="W17" i="149"/>
  <c r="U17" i="149"/>
  <c r="T17" i="149"/>
  <c r="Q17" i="149"/>
  <c r="O17" i="149" s="1"/>
  <c r="M17" i="149"/>
  <c r="D17" i="149"/>
  <c r="EE16" i="149"/>
  <c r="EF16" i="149" s="1"/>
  <c r="DM16" i="149"/>
  <c r="DH16" i="149"/>
  <c r="DL16" i="149" s="1"/>
  <c r="DG16" i="149"/>
  <c r="DF16" i="149"/>
  <c r="DD16" i="149"/>
  <c r="CX16" i="149"/>
  <c r="CW16" i="149"/>
  <c r="DA16" i="149" s="1"/>
  <c r="CP16" i="149"/>
  <c r="CK16" i="149"/>
  <c r="CE16" i="149"/>
  <c r="CB16" i="149"/>
  <c r="CA16" i="149"/>
  <c r="BY16" i="149"/>
  <c r="BF16" i="149" s="1"/>
  <c r="BE16" i="149"/>
  <c r="BD16" i="149"/>
  <c r="BC16" i="149"/>
  <c r="AP16" i="149"/>
  <c r="AO16" i="149"/>
  <c r="Z16" i="149"/>
  <c r="W16" i="149"/>
  <c r="U16" i="149"/>
  <c r="T16" i="149"/>
  <c r="Q16" i="149"/>
  <c r="O16" i="149" s="1"/>
  <c r="M16" i="149"/>
  <c r="D16" i="149"/>
  <c r="EE15" i="149"/>
  <c r="EF15" i="149" s="1"/>
  <c r="DM15" i="149"/>
  <c r="DH15" i="149"/>
  <c r="DL15" i="149" s="1"/>
  <c r="DG15" i="149"/>
  <c r="DF15" i="149"/>
  <c r="CX15" i="149" s="1"/>
  <c r="DD15" i="149"/>
  <c r="CW15" i="149"/>
  <c r="DA15" i="149" s="1"/>
  <c r="CP15" i="149"/>
  <c r="CK15" i="149"/>
  <c r="CE15" i="149"/>
  <c r="CB15" i="149"/>
  <c r="CA15" i="149"/>
  <c r="BY15" i="149"/>
  <c r="BP15" i="149"/>
  <c r="BF15" i="149"/>
  <c r="BE15" i="149"/>
  <c r="BD15" i="149"/>
  <c r="BC15" i="149"/>
  <c r="AP15" i="149"/>
  <c r="AO15" i="149"/>
  <c r="Z15" i="149"/>
  <c r="W15" i="149"/>
  <c r="U15" i="149"/>
  <c r="T15" i="149"/>
  <c r="Q15" i="149"/>
  <c r="O15" i="149" s="1"/>
  <c r="M15" i="149"/>
  <c r="D15" i="149"/>
  <c r="EE116" i="149"/>
  <c r="EF116" i="149" s="1"/>
  <c r="DM116" i="149"/>
  <c r="DH116" i="149"/>
  <c r="DL116" i="149" s="1"/>
  <c r="DG116" i="149"/>
  <c r="DF116" i="149"/>
  <c r="DD116" i="149"/>
  <c r="CX116" i="149"/>
  <c r="CW116" i="149"/>
  <c r="DA116" i="149" s="1"/>
  <c r="CP116" i="149"/>
  <c r="CK116" i="149"/>
  <c r="CE116" i="149"/>
  <c r="CB116" i="149"/>
  <c r="CA116" i="149"/>
  <c r="BY116" i="149"/>
  <c r="BP116" i="149"/>
  <c r="BF116" i="149"/>
  <c r="BE116" i="149"/>
  <c r="BD116" i="149"/>
  <c r="BC116" i="149"/>
  <c r="AO116" i="149"/>
  <c r="Z116" i="149"/>
  <c r="W116" i="149"/>
  <c r="U116" i="149"/>
  <c r="T116" i="149"/>
  <c r="Q116" i="149"/>
  <c r="O116" i="149" s="1"/>
  <c r="M116" i="149"/>
  <c r="D116" i="149"/>
  <c r="EE115" i="149"/>
  <c r="EF115" i="149" s="1"/>
  <c r="DM115" i="149"/>
  <c r="DH115" i="149"/>
  <c r="DI115" i="149" s="1"/>
  <c r="DG115" i="149"/>
  <c r="DF115" i="149"/>
  <c r="DD115" i="149"/>
  <c r="CW115" i="149"/>
  <c r="CY115" i="149" s="1"/>
  <c r="CP115" i="149"/>
  <c r="CK115" i="149"/>
  <c r="CE115" i="149"/>
  <c r="CB115" i="149"/>
  <c r="CA115" i="149"/>
  <c r="BY115" i="149"/>
  <c r="BF115" i="149" s="1"/>
  <c r="BE115" i="149"/>
  <c r="BD115" i="149"/>
  <c r="BC115" i="149"/>
  <c r="Z115" i="149"/>
  <c r="W115" i="149"/>
  <c r="X115" i="149" s="1"/>
  <c r="CJ115" i="149" s="1"/>
  <c r="U115" i="149"/>
  <c r="T115" i="149"/>
  <c r="Q115" i="149"/>
  <c r="O115" i="149" s="1"/>
  <c r="M115" i="149"/>
  <c r="D115" i="149"/>
  <c r="EE114" i="149"/>
  <c r="EF114" i="149" s="1"/>
  <c r="DM114" i="149"/>
  <c r="DH114" i="149"/>
  <c r="DL114" i="149" s="1"/>
  <c r="DG114" i="149"/>
  <c r="DF114" i="149"/>
  <c r="DD114" i="149"/>
  <c r="CX114" i="149"/>
  <c r="CW114" i="149"/>
  <c r="DA114" i="149" s="1"/>
  <c r="CP114" i="149"/>
  <c r="CK114" i="149"/>
  <c r="CE114" i="149"/>
  <c r="CB114" i="149"/>
  <c r="CA114" i="149"/>
  <c r="BY114" i="149"/>
  <c r="BF114" i="149" s="1"/>
  <c r="BE114" i="149"/>
  <c r="AD114" i="149" s="1"/>
  <c r="BD114" i="149"/>
  <c r="BC114" i="149"/>
  <c r="Z114" i="149"/>
  <c r="W114" i="149"/>
  <c r="X114" i="149" s="1"/>
  <c r="CJ114" i="149" s="1"/>
  <c r="U114" i="149"/>
  <c r="T114" i="149"/>
  <c r="Q114" i="149"/>
  <c r="O114" i="149" s="1"/>
  <c r="M114" i="149"/>
  <c r="D114" i="149"/>
  <c r="EE113" i="149"/>
  <c r="EF113" i="149" s="1"/>
  <c r="DM113" i="149"/>
  <c r="DH113" i="149"/>
  <c r="DI113" i="149" s="1"/>
  <c r="DG113" i="149"/>
  <c r="DF113" i="149"/>
  <c r="DD113" i="149"/>
  <c r="CW113" i="149"/>
  <c r="CY113" i="149" s="1"/>
  <c r="CP113" i="149"/>
  <c r="CK113" i="149"/>
  <c r="CE113" i="149"/>
  <c r="CB113" i="149"/>
  <c r="CA113" i="149"/>
  <c r="BY113" i="149"/>
  <c r="BP113" i="149"/>
  <c r="BF113" i="149"/>
  <c r="BE113" i="149"/>
  <c r="BB113" i="149" s="1"/>
  <c r="CD113" i="149" s="1"/>
  <c r="BD113" i="149"/>
  <c r="BC113" i="149"/>
  <c r="AP113" i="149"/>
  <c r="AO113" i="149"/>
  <c r="Z113" i="149"/>
  <c r="W113" i="149"/>
  <c r="U113" i="149"/>
  <c r="T113" i="149"/>
  <c r="Q113" i="149"/>
  <c r="O113" i="149" s="1"/>
  <c r="M113" i="149"/>
  <c r="D113" i="149"/>
  <c r="EE112" i="149"/>
  <c r="EF112" i="149" s="1"/>
  <c r="DM112" i="149"/>
  <c r="DH112" i="149"/>
  <c r="DL112" i="149" s="1"/>
  <c r="DG112" i="149"/>
  <c r="DF112" i="149"/>
  <c r="DD112" i="149"/>
  <c r="CX112" i="149"/>
  <c r="CW112" i="149"/>
  <c r="DA112" i="149" s="1"/>
  <c r="CP112" i="149"/>
  <c r="CK112" i="149"/>
  <c r="CE112" i="149"/>
  <c r="CB112" i="149"/>
  <c r="CA112" i="149"/>
  <c r="BY112" i="149"/>
  <c r="BP112" i="149"/>
  <c r="BF112" i="149"/>
  <c r="BE112" i="149"/>
  <c r="BD112" i="149"/>
  <c r="BC112" i="149"/>
  <c r="AP112" i="149"/>
  <c r="AO112" i="149"/>
  <c r="Z112" i="149"/>
  <c r="W112" i="149"/>
  <c r="U112" i="149"/>
  <c r="T112" i="149"/>
  <c r="Q112" i="149"/>
  <c r="O112" i="149" s="1"/>
  <c r="M112" i="149"/>
  <c r="D112" i="149"/>
  <c r="EE111" i="149"/>
  <c r="EF111" i="149" s="1"/>
  <c r="DM111" i="149"/>
  <c r="DH111" i="149"/>
  <c r="DI111" i="149" s="1"/>
  <c r="DG111" i="149"/>
  <c r="DF111" i="149"/>
  <c r="DD111" i="149"/>
  <c r="CW111" i="149"/>
  <c r="CY111" i="149" s="1"/>
  <c r="CP111" i="149"/>
  <c r="CK111" i="149"/>
  <c r="CE111" i="149"/>
  <c r="CB111" i="149"/>
  <c r="CA111" i="149"/>
  <c r="BZ111" i="149"/>
  <c r="BY111" i="149"/>
  <c r="BF111" i="149" s="1"/>
  <c r="BE111" i="149"/>
  <c r="BB111" i="149" s="1"/>
  <c r="CD111" i="149" s="1"/>
  <c r="BD111" i="149"/>
  <c r="BC111" i="149"/>
  <c r="AA111" i="149" s="1"/>
  <c r="AP111" i="149"/>
  <c r="AO111" i="149"/>
  <c r="AQ111" i="149" s="1"/>
  <c r="Z111" i="149"/>
  <c r="W111" i="149"/>
  <c r="U111" i="149"/>
  <c r="T111" i="149"/>
  <c r="Q111" i="149"/>
  <c r="O111" i="149" s="1"/>
  <c r="M111" i="149"/>
  <c r="D111" i="149"/>
  <c r="EE110" i="149"/>
  <c r="EF110" i="149" s="1"/>
  <c r="DM110" i="149"/>
  <c r="DH110" i="149"/>
  <c r="DI110" i="149" s="1"/>
  <c r="DG110" i="149"/>
  <c r="DF110" i="149"/>
  <c r="DD110" i="149"/>
  <c r="CW110" i="149"/>
  <c r="CY110" i="149" s="1"/>
  <c r="CP110" i="149"/>
  <c r="CK110" i="149"/>
  <c r="CE110" i="149"/>
  <c r="CB110" i="149"/>
  <c r="CA110" i="149"/>
  <c r="BY110" i="149"/>
  <c r="BP110" i="149"/>
  <c r="BF110" i="149"/>
  <c r="BE110" i="149"/>
  <c r="BB110" i="149" s="1"/>
  <c r="BD110" i="149"/>
  <c r="BC110" i="149"/>
  <c r="AP110" i="149"/>
  <c r="AO110" i="149"/>
  <c r="Z110" i="149"/>
  <c r="W110" i="149"/>
  <c r="U110" i="149"/>
  <c r="T110" i="149"/>
  <c r="Q110" i="149"/>
  <c r="O110" i="149" s="1"/>
  <c r="M110" i="149"/>
  <c r="D110" i="149"/>
  <c r="EE109" i="149"/>
  <c r="EF109" i="149" s="1"/>
  <c r="DM109" i="149"/>
  <c r="DH109" i="149"/>
  <c r="DG109" i="149"/>
  <c r="DF109" i="149"/>
  <c r="DD109" i="149"/>
  <c r="CX109" i="149"/>
  <c r="CW109" i="149"/>
  <c r="DA109" i="149" s="1"/>
  <c r="CP109" i="149"/>
  <c r="CK109" i="149"/>
  <c r="CE109" i="149"/>
  <c r="CB109" i="149"/>
  <c r="CA109" i="149"/>
  <c r="BZ109" i="149"/>
  <c r="BY109" i="149"/>
  <c r="BF109" i="149" s="1"/>
  <c r="BE109" i="149"/>
  <c r="BB109" i="149" s="1"/>
  <c r="BD109" i="149"/>
  <c r="BC109" i="149"/>
  <c r="AP109" i="149"/>
  <c r="AO109" i="149"/>
  <c r="AQ109" i="149" s="1"/>
  <c r="Z109" i="149"/>
  <c r="W109" i="149"/>
  <c r="U109" i="149"/>
  <c r="T109" i="149"/>
  <c r="Q109" i="149"/>
  <c r="O109" i="149" s="1"/>
  <c r="M109" i="149"/>
  <c r="D109" i="149"/>
  <c r="EE108" i="149"/>
  <c r="EF108" i="149" s="1"/>
  <c r="DM108" i="149"/>
  <c r="DH108" i="149"/>
  <c r="DG108" i="149"/>
  <c r="DF108" i="149"/>
  <c r="DD108" i="149"/>
  <c r="CX108" i="149"/>
  <c r="CW108" i="149"/>
  <c r="DA108" i="149" s="1"/>
  <c r="CP108" i="149"/>
  <c r="CK108" i="149"/>
  <c r="CE108" i="149"/>
  <c r="CB108" i="149"/>
  <c r="CA108" i="149"/>
  <c r="BZ108" i="149"/>
  <c r="BY108" i="149"/>
  <c r="BF108" i="149" s="1"/>
  <c r="BE108" i="149"/>
  <c r="BB108" i="149" s="1"/>
  <c r="BD108" i="149"/>
  <c r="BC108" i="149"/>
  <c r="AP108" i="149"/>
  <c r="AO108" i="149"/>
  <c r="AQ108" i="149" s="1"/>
  <c r="Z108" i="149"/>
  <c r="W108" i="149"/>
  <c r="U108" i="149"/>
  <c r="T108" i="149"/>
  <c r="Q108" i="149"/>
  <c r="O108" i="149" s="1"/>
  <c r="M108" i="149"/>
  <c r="D108" i="149"/>
  <c r="EE107" i="149"/>
  <c r="EF107" i="149" s="1"/>
  <c r="DM107" i="149"/>
  <c r="DH107" i="149"/>
  <c r="DG107" i="149"/>
  <c r="DF107" i="149"/>
  <c r="DD107" i="149"/>
  <c r="CX107" i="149"/>
  <c r="CW107" i="149"/>
  <c r="DA107" i="149" s="1"/>
  <c r="CP107" i="149"/>
  <c r="CK107" i="149"/>
  <c r="CE107" i="149"/>
  <c r="CB107" i="149"/>
  <c r="CA107" i="149"/>
  <c r="BY107" i="149"/>
  <c r="BF107" i="149" s="1"/>
  <c r="BE107" i="149"/>
  <c r="BD107" i="149"/>
  <c r="BC107" i="149"/>
  <c r="AP107" i="149"/>
  <c r="AO107" i="149"/>
  <c r="AQ107" i="149" s="1"/>
  <c r="Z107" i="149"/>
  <c r="W107" i="149"/>
  <c r="U107" i="149"/>
  <c r="T107" i="149"/>
  <c r="Q107" i="149"/>
  <c r="O107" i="149" s="1"/>
  <c r="M107" i="149"/>
  <c r="D107" i="149"/>
  <c r="EE106" i="149"/>
  <c r="EF106" i="149" s="1"/>
  <c r="DM106" i="149"/>
  <c r="DH106" i="149"/>
  <c r="DL106" i="149" s="1"/>
  <c r="DG106" i="149"/>
  <c r="DF106" i="149"/>
  <c r="DD106" i="149"/>
  <c r="CX106" i="149"/>
  <c r="CW106" i="149"/>
  <c r="DA106" i="149" s="1"/>
  <c r="CP106" i="149"/>
  <c r="CK106" i="149"/>
  <c r="CE106" i="149"/>
  <c r="CB106" i="149"/>
  <c r="CA106" i="149"/>
  <c r="BY106" i="149"/>
  <c r="BF106" i="149" s="1"/>
  <c r="BE106" i="149"/>
  <c r="BD106" i="149"/>
  <c r="BC106" i="149"/>
  <c r="Z106" i="149"/>
  <c r="W106" i="149"/>
  <c r="U106" i="149"/>
  <c r="T106" i="149"/>
  <c r="Q106" i="149"/>
  <c r="O106" i="149" s="1"/>
  <c r="M106" i="149"/>
  <c r="D106" i="149"/>
  <c r="EE105" i="149"/>
  <c r="EF105" i="149" s="1"/>
  <c r="DM105" i="149"/>
  <c r="DH105" i="149"/>
  <c r="DL105" i="149" s="1"/>
  <c r="DG105" i="149"/>
  <c r="DF105" i="149"/>
  <c r="CX105" i="149" s="1"/>
  <c r="DD105" i="149"/>
  <c r="CW105" i="149"/>
  <c r="DA105" i="149" s="1"/>
  <c r="CP105" i="149"/>
  <c r="CK105" i="149"/>
  <c r="CE105" i="149"/>
  <c r="CB105" i="149"/>
  <c r="CA105" i="149"/>
  <c r="BY105" i="149"/>
  <c r="BF105" i="149" s="1"/>
  <c r="BE105" i="149"/>
  <c r="BD105" i="149"/>
  <c r="BC105" i="149"/>
  <c r="AP105" i="149"/>
  <c r="AO105" i="149"/>
  <c r="AQ105" i="149" s="1"/>
  <c r="Z105" i="149"/>
  <c r="W105" i="149"/>
  <c r="X105" i="149" s="1"/>
  <c r="CJ105" i="149" s="1"/>
  <c r="U105" i="149"/>
  <c r="T105" i="149"/>
  <c r="Q105" i="149"/>
  <c r="O105" i="149" s="1"/>
  <c r="M105" i="149"/>
  <c r="D105" i="149"/>
  <c r="EE104" i="149"/>
  <c r="EF104" i="149" s="1"/>
  <c r="DM104" i="149"/>
  <c r="DH104" i="149"/>
  <c r="DI104" i="149" s="1"/>
  <c r="DG104" i="149"/>
  <c r="DF104" i="149"/>
  <c r="DD104" i="149"/>
  <c r="CW104" i="149"/>
  <c r="CY104" i="149" s="1"/>
  <c r="CP104" i="149"/>
  <c r="CK104" i="149"/>
  <c r="CE104" i="149"/>
  <c r="CB104" i="149"/>
  <c r="CA104" i="149"/>
  <c r="BY104" i="149"/>
  <c r="BF104" i="149" s="1"/>
  <c r="BE104" i="149"/>
  <c r="BB104" i="149" s="1"/>
  <c r="CD104" i="149" s="1"/>
  <c r="BD104" i="149"/>
  <c r="BC104" i="149"/>
  <c r="AA104" i="149" s="1"/>
  <c r="AP104" i="149"/>
  <c r="AO104" i="149"/>
  <c r="AQ104" i="149" s="1"/>
  <c r="Z104" i="149"/>
  <c r="W104" i="149"/>
  <c r="X104" i="149" s="1"/>
  <c r="CJ104" i="149" s="1"/>
  <c r="U104" i="149"/>
  <c r="T104" i="149"/>
  <c r="Q104" i="149"/>
  <c r="O104" i="149" s="1"/>
  <c r="M104" i="149"/>
  <c r="D104" i="149"/>
  <c r="EE103" i="149"/>
  <c r="EF103" i="149" s="1"/>
  <c r="DM103" i="149"/>
  <c r="DH103" i="149"/>
  <c r="DI103" i="149" s="1"/>
  <c r="DG103" i="149"/>
  <c r="DF103" i="149"/>
  <c r="DD103" i="149"/>
  <c r="CW103" i="149"/>
  <c r="CY103" i="149" s="1"/>
  <c r="CP103" i="149"/>
  <c r="CK103" i="149"/>
  <c r="CE103" i="149"/>
  <c r="CB103" i="149"/>
  <c r="CA103" i="149"/>
  <c r="BY103" i="149"/>
  <c r="BF103" i="149" s="1"/>
  <c r="BE103" i="149"/>
  <c r="BD103" i="149"/>
  <c r="BC103" i="149"/>
  <c r="Z103" i="149"/>
  <c r="W103" i="149"/>
  <c r="X103" i="149" s="1"/>
  <c r="CJ103" i="149" s="1"/>
  <c r="U103" i="149"/>
  <c r="T103" i="149"/>
  <c r="Q103" i="149"/>
  <c r="O103" i="149" s="1"/>
  <c r="M103" i="149"/>
  <c r="D103" i="149"/>
  <c r="EE102" i="149"/>
  <c r="EF102" i="149" s="1"/>
  <c r="DM102" i="149"/>
  <c r="DH102" i="149"/>
  <c r="DL102" i="149" s="1"/>
  <c r="DG102" i="149"/>
  <c r="DF102" i="149"/>
  <c r="DD102" i="149"/>
  <c r="CX102" i="149"/>
  <c r="CW102" i="149"/>
  <c r="DA102" i="149" s="1"/>
  <c r="CP102" i="149"/>
  <c r="CK102" i="149"/>
  <c r="CE102" i="149"/>
  <c r="CB102" i="149"/>
  <c r="CA102" i="149"/>
  <c r="BY102" i="149"/>
  <c r="BP102" i="149"/>
  <c r="BF102" i="149"/>
  <c r="BE102" i="149"/>
  <c r="BD102" i="149"/>
  <c r="BC102" i="149"/>
  <c r="AP102" i="149"/>
  <c r="AO102" i="149"/>
  <c r="Z102" i="149"/>
  <c r="W102" i="149"/>
  <c r="U102" i="149"/>
  <c r="T102" i="149"/>
  <c r="Q102" i="149"/>
  <c r="O102" i="149" s="1"/>
  <c r="M102" i="149"/>
  <c r="D102" i="149"/>
  <c r="EE101" i="149"/>
  <c r="EF101" i="149" s="1"/>
  <c r="DH101" i="149"/>
  <c r="DI101" i="149" s="1"/>
  <c r="DG101" i="149"/>
  <c r="DF101" i="149"/>
  <c r="DD101" i="149"/>
  <c r="CW101" i="149"/>
  <c r="CY101" i="149" s="1"/>
  <c r="CP101" i="149"/>
  <c r="CK101" i="149"/>
  <c r="DN101" i="149" s="1"/>
  <c r="CE101" i="149"/>
  <c r="CB101" i="149"/>
  <c r="CA101" i="149"/>
  <c r="BY101" i="149"/>
  <c r="BF101" i="149" s="1"/>
  <c r="BE101" i="149"/>
  <c r="BB101" i="149" s="1"/>
  <c r="CD101" i="149" s="1"/>
  <c r="BD101" i="149"/>
  <c r="BC101" i="149"/>
  <c r="AA101" i="149" s="1"/>
  <c r="AP101" i="149"/>
  <c r="AO101" i="149"/>
  <c r="AQ101" i="149" s="1"/>
  <c r="Z101" i="149"/>
  <c r="W101" i="149"/>
  <c r="U101" i="149"/>
  <c r="T101" i="149"/>
  <c r="Q101" i="149"/>
  <c r="O101" i="149" s="1"/>
  <c r="M101" i="149"/>
  <c r="D101" i="149"/>
  <c r="EE100" i="149"/>
  <c r="EF100" i="149" s="1"/>
  <c r="DM100" i="149"/>
  <c r="DH100" i="149"/>
  <c r="DI100" i="149" s="1"/>
  <c r="DG100" i="149"/>
  <c r="DF100" i="149"/>
  <c r="DD100" i="149"/>
  <c r="CW100" i="149"/>
  <c r="CP100" i="149"/>
  <c r="CK100" i="149"/>
  <c r="CE100" i="149"/>
  <c r="CB100" i="149"/>
  <c r="CA100" i="149"/>
  <c r="BY100" i="149"/>
  <c r="BF100" i="149" s="1"/>
  <c r="BE100" i="149"/>
  <c r="BB100" i="149" s="1"/>
  <c r="CD100" i="149" s="1"/>
  <c r="BD100" i="149"/>
  <c r="BC100" i="149"/>
  <c r="AA100" i="149" s="1"/>
  <c r="AP100" i="149"/>
  <c r="AO100" i="149"/>
  <c r="AQ100" i="149" s="1"/>
  <c r="Z100" i="149"/>
  <c r="W100" i="149"/>
  <c r="U100" i="149"/>
  <c r="T100" i="149"/>
  <c r="Q100" i="149"/>
  <c r="O100" i="149" s="1"/>
  <c r="M100" i="149"/>
  <c r="D100" i="149"/>
  <c r="EE99" i="149"/>
  <c r="EF99" i="149" s="1"/>
  <c r="DM99" i="149"/>
  <c r="DH99" i="149"/>
  <c r="DL99" i="149" s="1"/>
  <c r="DG99" i="149"/>
  <c r="DF99" i="149"/>
  <c r="DD99" i="149"/>
  <c r="CX99" i="149"/>
  <c r="CW99" i="149"/>
  <c r="DA99" i="149" s="1"/>
  <c r="CP99" i="149"/>
  <c r="CK99" i="149"/>
  <c r="CE99" i="149"/>
  <c r="CB99" i="149"/>
  <c r="CA99" i="149"/>
  <c r="BY99" i="149"/>
  <c r="BF99" i="149" s="1"/>
  <c r="BE99" i="149"/>
  <c r="BB99" i="149" s="1"/>
  <c r="CD99" i="149" s="1"/>
  <c r="BD99" i="149"/>
  <c r="BC99" i="149"/>
  <c r="AP99" i="149"/>
  <c r="AO99" i="149"/>
  <c r="Z99" i="149"/>
  <c r="W99" i="149"/>
  <c r="U99" i="149"/>
  <c r="T99" i="149"/>
  <c r="Q99" i="149"/>
  <c r="O99" i="149" s="1"/>
  <c r="M99" i="149"/>
  <c r="D99" i="149"/>
  <c r="EE98" i="149"/>
  <c r="EF98" i="149" s="1"/>
  <c r="DM98" i="149"/>
  <c r="DH98" i="149"/>
  <c r="DL98" i="149" s="1"/>
  <c r="DG98" i="149"/>
  <c r="DF98" i="149"/>
  <c r="DD98" i="149"/>
  <c r="CX98" i="149"/>
  <c r="CW98" i="149"/>
  <c r="DA98" i="149" s="1"/>
  <c r="CP98" i="149"/>
  <c r="CK98" i="149"/>
  <c r="CE98" i="149"/>
  <c r="CB98" i="149"/>
  <c r="CA98" i="149"/>
  <c r="BY98" i="149"/>
  <c r="BF98" i="149" s="1"/>
  <c r="BE98" i="149"/>
  <c r="BB98" i="149" s="1"/>
  <c r="CD98" i="149" s="1"/>
  <c r="BD98" i="149"/>
  <c r="BC98" i="149"/>
  <c r="AP98" i="149"/>
  <c r="AO98" i="149"/>
  <c r="Z98" i="149"/>
  <c r="W98" i="149"/>
  <c r="U98" i="149"/>
  <c r="T98" i="149"/>
  <c r="Q98" i="149"/>
  <c r="O98" i="149" s="1"/>
  <c r="M98" i="149"/>
  <c r="D98" i="149"/>
  <c r="EE97" i="149"/>
  <c r="EF97" i="149" s="1"/>
  <c r="DM97" i="149"/>
  <c r="DH97" i="149"/>
  <c r="DL97" i="149" s="1"/>
  <c r="DG97" i="149"/>
  <c r="DF97" i="149"/>
  <c r="DD97" i="149"/>
  <c r="CX97" i="149"/>
  <c r="CW97" i="149"/>
  <c r="DA97" i="149" s="1"/>
  <c r="CP97" i="149"/>
  <c r="CK97" i="149"/>
  <c r="CE97" i="149"/>
  <c r="CB97" i="149"/>
  <c r="CA97" i="149"/>
  <c r="BY97" i="149"/>
  <c r="BF97" i="149" s="1"/>
  <c r="BE97" i="149"/>
  <c r="BB97" i="149" s="1"/>
  <c r="CD97" i="149" s="1"/>
  <c r="BD97" i="149"/>
  <c r="BC97" i="149"/>
  <c r="AP97" i="149"/>
  <c r="AO97" i="149"/>
  <c r="Z97" i="149"/>
  <c r="W97" i="149"/>
  <c r="U97" i="149"/>
  <c r="T97" i="149"/>
  <c r="Q97" i="149"/>
  <c r="O97" i="149" s="1"/>
  <c r="M97" i="149"/>
  <c r="D97" i="149"/>
  <c r="EE96" i="149"/>
  <c r="EF96" i="149" s="1"/>
  <c r="DM96" i="149"/>
  <c r="DH96" i="149"/>
  <c r="DL96" i="149" s="1"/>
  <c r="DG96" i="149"/>
  <c r="DF96" i="149"/>
  <c r="DD96" i="149"/>
  <c r="CX96" i="149"/>
  <c r="CW96" i="149"/>
  <c r="DA96" i="149" s="1"/>
  <c r="CP96" i="149"/>
  <c r="CK96" i="149"/>
  <c r="CE96" i="149"/>
  <c r="CB96" i="149"/>
  <c r="CA96" i="149"/>
  <c r="BY96" i="149"/>
  <c r="BF96" i="149" s="1"/>
  <c r="BE96" i="149"/>
  <c r="BB96" i="149" s="1"/>
  <c r="CD96" i="149" s="1"/>
  <c r="BD96" i="149"/>
  <c r="BC96" i="149"/>
  <c r="AP96" i="149"/>
  <c r="AO96" i="149"/>
  <c r="Z96" i="149"/>
  <c r="W96" i="149"/>
  <c r="U96" i="149"/>
  <c r="T96" i="149"/>
  <c r="Q96" i="149"/>
  <c r="O96" i="149" s="1"/>
  <c r="M96" i="149"/>
  <c r="D96" i="149"/>
  <c r="EE95" i="149"/>
  <c r="EF95" i="149" s="1"/>
  <c r="DM95" i="149"/>
  <c r="DH95" i="149"/>
  <c r="DL95" i="149" s="1"/>
  <c r="DG95" i="149"/>
  <c r="DF95" i="149"/>
  <c r="DD95" i="149"/>
  <c r="CX95" i="149"/>
  <c r="CW95" i="149"/>
  <c r="DA95" i="149" s="1"/>
  <c r="CP95" i="149"/>
  <c r="CK95" i="149"/>
  <c r="CE95" i="149"/>
  <c r="CB95" i="149"/>
  <c r="CA95" i="149"/>
  <c r="BY95" i="149"/>
  <c r="BP95" i="149"/>
  <c r="BF95" i="149"/>
  <c r="BE95" i="149"/>
  <c r="BD95" i="149"/>
  <c r="BC95" i="149"/>
  <c r="AP95" i="149"/>
  <c r="AO95" i="149"/>
  <c r="Z95" i="149"/>
  <c r="W95" i="149"/>
  <c r="U95" i="149"/>
  <c r="T95" i="149"/>
  <c r="Q95" i="149"/>
  <c r="O95" i="149" s="1"/>
  <c r="M95" i="149"/>
  <c r="D95" i="149"/>
  <c r="EE94" i="149"/>
  <c r="EF94" i="149" s="1"/>
  <c r="DM94" i="149"/>
  <c r="DH94" i="149"/>
  <c r="DI94" i="149" s="1"/>
  <c r="DG94" i="149"/>
  <c r="DF94" i="149"/>
  <c r="DD94" i="149"/>
  <c r="CX94" i="149"/>
  <c r="CW94" i="149"/>
  <c r="DA94" i="149" s="1"/>
  <c r="CP94" i="149"/>
  <c r="CK94" i="149"/>
  <c r="CE94" i="149"/>
  <c r="CB94" i="149"/>
  <c r="CA94" i="149"/>
  <c r="BY94" i="149"/>
  <c r="BP94" i="149"/>
  <c r="BF94" i="149"/>
  <c r="BE94" i="149"/>
  <c r="BD94" i="149"/>
  <c r="BC94" i="149"/>
  <c r="AP94" i="149"/>
  <c r="AO94" i="149"/>
  <c r="Z94" i="149"/>
  <c r="W94" i="149"/>
  <c r="U94" i="149"/>
  <c r="T94" i="149"/>
  <c r="Q94" i="149"/>
  <c r="O94" i="149" s="1"/>
  <c r="M94" i="149"/>
  <c r="D94" i="149"/>
  <c r="EE93" i="149"/>
  <c r="EF93" i="149" s="1"/>
  <c r="DM93" i="149"/>
  <c r="DH93" i="149"/>
  <c r="DL93" i="149" s="1"/>
  <c r="DG93" i="149"/>
  <c r="DF93" i="149"/>
  <c r="CX93" i="149" s="1"/>
  <c r="DD93" i="149"/>
  <c r="CW93" i="149"/>
  <c r="DA93" i="149" s="1"/>
  <c r="CP93" i="149"/>
  <c r="CK93" i="149"/>
  <c r="CE93" i="149"/>
  <c r="CB93" i="149"/>
  <c r="CA93" i="149"/>
  <c r="BY93" i="149"/>
  <c r="BP93" i="149"/>
  <c r="BF93" i="149"/>
  <c r="BE93" i="149"/>
  <c r="BB93" i="149" s="1"/>
  <c r="CD93" i="149" s="1"/>
  <c r="BD93" i="149"/>
  <c r="BC93" i="149"/>
  <c r="AP93" i="149"/>
  <c r="AO93" i="149"/>
  <c r="Z93" i="149"/>
  <c r="W93" i="149"/>
  <c r="U93" i="149"/>
  <c r="T93" i="149"/>
  <c r="Q93" i="149"/>
  <c r="O93" i="149" s="1"/>
  <c r="M93" i="149"/>
  <c r="D93" i="149"/>
  <c r="EE92" i="149"/>
  <c r="EF92" i="149" s="1"/>
  <c r="DM92" i="149"/>
  <c r="DH92" i="149"/>
  <c r="DL92" i="149" s="1"/>
  <c r="DG92" i="149"/>
  <c r="DF92" i="149"/>
  <c r="DD92" i="149"/>
  <c r="CX92" i="149"/>
  <c r="CW92" i="149"/>
  <c r="DA92" i="149" s="1"/>
  <c r="CP92" i="149"/>
  <c r="CK92" i="149"/>
  <c r="CE92" i="149"/>
  <c r="CB92" i="149"/>
  <c r="CA92" i="149"/>
  <c r="BY92" i="149"/>
  <c r="BF92" i="149" s="1"/>
  <c r="BE92" i="149"/>
  <c r="BB92" i="149" s="1"/>
  <c r="CD92" i="149" s="1"/>
  <c r="BD92" i="149"/>
  <c r="BC92" i="149"/>
  <c r="AS92" i="149"/>
  <c r="AR92" i="149"/>
  <c r="AG92" i="149"/>
  <c r="Z92" i="149"/>
  <c r="W92" i="149"/>
  <c r="U92" i="149"/>
  <c r="T92" i="149"/>
  <c r="Q92" i="149"/>
  <c r="O92" i="149" s="1"/>
  <c r="M92" i="149"/>
  <c r="D92" i="149"/>
  <c r="EE91" i="149"/>
  <c r="EF91" i="149" s="1"/>
  <c r="DM91" i="149"/>
  <c r="DH91" i="149"/>
  <c r="DL91" i="149" s="1"/>
  <c r="DG91" i="149"/>
  <c r="DF91" i="149"/>
  <c r="CX91" i="149" s="1"/>
  <c r="DD91" i="149"/>
  <c r="CW91" i="149"/>
  <c r="DA91" i="149" s="1"/>
  <c r="CP91" i="149"/>
  <c r="CK91" i="149"/>
  <c r="CE91" i="149"/>
  <c r="CB91" i="149"/>
  <c r="CA91" i="149"/>
  <c r="BY91" i="149"/>
  <c r="BF91" i="149" s="1"/>
  <c r="BE91" i="149"/>
  <c r="BD91" i="149"/>
  <c r="BC91" i="149"/>
  <c r="AP91" i="149"/>
  <c r="AO91" i="149"/>
  <c r="Z91" i="149"/>
  <c r="W91" i="149"/>
  <c r="U91" i="149"/>
  <c r="T91" i="149"/>
  <c r="Q91" i="149"/>
  <c r="O91" i="149" s="1"/>
  <c r="M91" i="149"/>
  <c r="D91" i="149"/>
  <c r="EE90" i="149"/>
  <c r="EF90" i="149" s="1"/>
  <c r="DM90" i="149"/>
  <c r="DH90" i="149"/>
  <c r="DL90" i="149" s="1"/>
  <c r="DG90" i="149"/>
  <c r="DF90" i="149"/>
  <c r="CX90" i="149" s="1"/>
  <c r="DD90" i="149"/>
  <c r="CW90" i="149"/>
  <c r="DA90" i="149" s="1"/>
  <c r="CP90" i="149"/>
  <c r="CK90" i="149"/>
  <c r="CE90" i="149"/>
  <c r="CB90" i="149"/>
  <c r="CA90" i="149"/>
  <c r="BY90" i="149"/>
  <c r="BP90" i="149"/>
  <c r="BF90" i="149"/>
  <c r="BE90" i="149"/>
  <c r="BB90" i="149" s="1"/>
  <c r="CD90" i="149" s="1"/>
  <c r="BD90" i="149"/>
  <c r="BC90" i="149"/>
  <c r="AP90" i="149"/>
  <c r="AO90" i="149"/>
  <c r="Z90" i="149"/>
  <c r="W90" i="149"/>
  <c r="U90" i="149"/>
  <c r="T90" i="149"/>
  <c r="Q90" i="149"/>
  <c r="O90" i="149" s="1"/>
  <c r="M90" i="149"/>
  <c r="D90" i="149"/>
  <c r="EE89" i="149"/>
  <c r="EF89" i="149" s="1"/>
  <c r="DM89" i="149"/>
  <c r="DH89" i="149"/>
  <c r="DL89" i="149" s="1"/>
  <c r="DG89" i="149"/>
  <c r="DF89" i="149"/>
  <c r="DD89" i="149"/>
  <c r="CX89" i="149"/>
  <c r="CW89" i="149"/>
  <c r="DA89" i="149" s="1"/>
  <c r="CP89" i="149"/>
  <c r="CK89" i="149"/>
  <c r="CE89" i="149"/>
  <c r="CB89" i="149"/>
  <c r="CA89" i="149"/>
  <c r="BY89" i="149"/>
  <c r="BP89" i="149"/>
  <c r="BF89" i="149"/>
  <c r="BE89" i="149"/>
  <c r="BD89" i="149"/>
  <c r="BC89" i="149"/>
  <c r="AP89" i="149"/>
  <c r="AO89" i="149"/>
  <c r="Z89" i="149"/>
  <c r="W89" i="149"/>
  <c r="U89" i="149"/>
  <c r="T89" i="149"/>
  <c r="Q89" i="149"/>
  <c r="O89" i="149" s="1"/>
  <c r="M89" i="149"/>
  <c r="D89" i="149"/>
  <c r="EE88" i="149"/>
  <c r="EF88" i="149" s="1"/>
  <c r="DM88" i="149"/>
  <c r="DH88" i="149"/>
  <c r="DL88" i="149" s="1"/>
  <c r="DG88" i="149"/>
  <c r="DF88" i="149"/>
  <c r="CX88" i="149" s="1"/>
  <c r="DD88" i="149"/>
  <c r="CW88" i="149"/>
  <c r="DA88" i="149" s="1"/>
  <c r="CP88" i="149"/>
  <c r="CK88" i="149"/>
  <c r="CE88" i="149"/>
  <c r="CB88" i="149"/>
  <c r="CA88" i="149"/>
  <c r="BY88" i="149"/>
  <c r="BP88" i="149"/>
  <c r="BF88" i="149"/>
  <c r="BE88" i="149"/>
  <c r="BB88" i="149" s="1"/>
  <c r="CD88" i="149" s="1"/>
  <c r="BD88" i="149"/>
  <c r="BC88" i="149"/>
  <c r="AP88" i="149"/>
  <c r="AO88" i="149"/>
  <c r="Z88" i="149"/>
  <c r="W88" i="149"/>
  <c r="U88" i="149"/>
  <c r="T88" i="149"/>
  <c r="Q88" i="149"/>
  <c r="O88" i="149" s="1"/>
  <c r="M88" i="149"/>
  <c r="D88" i="149"/>
  <c r="EE87" i="149"/>
  <c r="EF87" i="149" s="1"/>
  <c r="DM87" i="149"/>
  <c r="DH87" i="149"/>
  <c r="DL87" i="149" s="1"/>
  <c r="DG87" i="149"/>
  <c r="DF87" i="149"/>
  <c r="CX87" i="149" s="1"/>
  <c r="DD87" i="149"/>
  <c r="CW87" i="149"/>
  <c r="DA87" i="149" s="1"/>
  <c r="CP87" i="149"/>
  <c r="CK87" i="149"/>
  <c r="CE87" i="149"/>
  <c r="CB87" i="149"/>
  <c r="CA87" i="149"/>
  <c r="BY87" i="149"/>
  <c r="BP87" i="149"/>
  <c r="BF87" i="149"/>
  <c r="BE87" i="149"/>
  <c r="BD87" i="149"/>
  <c r="BC87" i="149"/>
  <c r="AP87" i="149"/>
  <c r="AO87" i="149"/>
  <c r="Z87" i="149"/>
  <c r="W87" i="149"/>
  <c r="U87" i="149"/>
  <c r="T87" i="149"/>
  <c r="Q87" i="149"/>
  <c r="O87" i="149" s="1"/>
  <c r="M87" i="149"/>
  <c r="D87" i="149"/>
  <c r="EE86" i="149"/>
  <c r="EF86" i="149" s="1"/>
  <c r="DM86" i="149"/>
  <c r="DH86" i="149"/>
  <c r="DL86" i="149" s="1"/>
  <c r="DG86" i="149"/>
  <c r="DF86" i="149"/>
  <c r="CX86" i="149" s="1"/>
  <c r="DD86" i="149"/>
  <c r="CW86" i="149"/>
  <c r="DA86" i="149" s="1"/>
  <c r="CP86" i="149"/>
  <c r="CK86" i="149"/>
  <c r="CE86" i="149"/>
  <c r="CB86" i="149"/>
  <c r="CA86" i="149"/>
  <c r="BY86" i="149"/>
  <c r="BF86" i="149" s="1"/>
  <c r="BE86" i="149"/>
  <c r="BD86" i="149"/>
  <c r="BC86" i="149"/>
  <c r="AP86" i="149"/>
  <c r="AO86" i="149"/>
  <c r="AQ86" i="149" s="1"/>
  <c r="Z86" i="149"/>
  <c r="W86" i="149"/>
  <c r="U86" i="149"/>
  <c r="T86" i="149"/>
  <c r="Q86" i="149"/>
  <c r="O86" i="149" s="1"/>
  <c r="M86" i="149"/>
  <c r="D86" i="149"/>
  <c r="EE85" i="149"/>
  <c r="EF85" i="149" s="1"/>
  <c r="DM85" i="149"/>
  <c r="DH85" i="149"/>
  <c r="DL85" i="149" s="1"/>
  <c r="DG85" i="149"/>
  <c r="DF85" i="149"/>
  <c r="CX85" i="149" s="1"/>
  <c r="DD85" i="149"/>
  <c r="CW85" i="149"/>
  <c r="DA85" i="149" s="1"/>
  <c r="CP85" i="149"/>
  <c r="CK85" i="149"/>
  <c r="CE85" i="149"/>
  <c r="CB85" i="149"/>
  <c r="CA85" i="149"/>
  <c r="BY85" i="149"/>
  <c r="BP85" i="149"/>
  <c r="BF85" i="149"/>
  <c r="BE85" i="149"/>
  <c r="BB85" i="149" s="1"/>
  <c r="BD85" i="149"/>
  <c r="BC85" i="149"/>
  <c r="AP85" i="149"/>
  <c r="AO85" i="149"/>
  <c r="Z85" i="149"/>
  <c r="W85" i="149"/>
  <c r="U85" i="149"/>
  <c r="T85" i="149"/>
  <c r="Q85" i="149"/>
  <c r="O85" i="149" s="1"/>
  <c r="M85" i="149"/>
  <c r="D85" i="149"/>
  <c r="DW71" i="149"/>
  <c r="DX71" i="149" s="1"/>
  <c r="DG71" i="149"/>
  <c r="DB71" i="149"/>
  <c r="DF71" i="149" s="1"/>
  <c r="DA71" i="149"/>
  <c r="CZ71" i="149"/>
  <c r="CR71" i="149" s="1"/>
  <c r="CX71" i="149"/>
  <c r="CQ71" i="149"/>
  <c r="CU71" i="149" s="1"/>
  <c r="CJ71" i="149"/>
  <c r="CE71" i="149"/>
  <c r="BZ71" i="149"/>
  <c r="BY71" i="149"/>
  <c r="BS71" i="149"/>
  <c r="BQ71" i="149"/>
  <c r="BH71" i="149"/>
  <c r="BF71" i="149"/>
  <c r="BD71" i="149"/>
  <c r="BC71" i="149"/>
  <c r="AZ71" i="149"/>
  <c r="AA71" i="149" s="1"/>
  <c r="Z71" i="149"/>
  <c r="W71" i="149"/>
  <c r="U71" i="149"/>
  <c r="T71" i="149"/>
  <c r="Q71" i="149"/>
  <c r="D71" i="149"/>
  <c r="ED69" i="149"/>
  <c r="EE69" i="149" s="1"/>
  <c r="DN69" i="149"/>
  <c r="DI69" i="149"/>
  <c r="DM69" i="149" s="1"/>
  <c r="DH69" i="149"/>
  <c r="DG69" i="149"/>
  <c r="CY69" i="149" s="1"/>
  <c r="DE69" i="149"/>
  <c r="CX69" i="149"/>
  <c r="DB69" i="149" s="1"/>
  <c r="CQ69" i="149"/>
  <c r="CL69" i="149"/>
  <c r="CF69" i="149"/>
  <c r="CC69" i="149"/>
  <c r="CB69" i="149"/>
  <c r="BZ69" i="149"/>
  <c r="BG69" i="149" s="1"/>
  <c r="BF69" i="149"/>
  <c r="BE69" i="149"/>
  <c r="BB69" i="149"/>
  <c r="AO69" i="149"/>
  <c r="Z69" i="149"/>
  <c r="W69" i="149"/>
  <c r="U69" i="149"/>
  <c r="T69" i="149"/>
  <c r="Q69" i="149"/>
  <c r="O69" i="149" s="1"/>
  <c r="D69" i="149"/>
  <c r="ED11" i="149"/>
  <c r="DV11" i="149"/>
  <c r="DW11" i="149" s="1"/>
  <c r="DF11" i="149"/>
  <c r="DA11" i="149"/>
  <c r="DB11" i="149" s="1"/>
  <c r="CZ11" i="149"/>
  <c r="CY11" i="149"/>
  <c r="CW11" i="149"/>
  <c r="CQ11" i="149"/>
  <c r="CP11" i="149"/>
  <c r="CU11" i="149" s="1"/>
  <c r="CI11" i="149"/>
  <c r="CD11" i="149"/>
  <c r="CC11" i="149"/>
  <c r="CA11" i="149"/>
  <c r="CU16" i="103" l="1"/>
  <c r="CU21" i="103"/>
  <c r="CU25" i="103"/>
  <c r="CD59" i="103"/>
  <c r="CC59" i="103" s="1"/>
  <c r="AA59" i="103"/>
  <c r="CU19" i="103"/>
  <c r="CU27" i="103"/>
  <c r="CU24" i="103"/>
  <c r="CU22" i="103"/>
  <c r="CD22" i="103"/>
  <c r="CC22" i="103" s="1"/>
  <c r="AA22" i="103"/>
  <c r="CD20" i="103"/>
  <c r="CC20" i="103" s="1"/>
  <c r="AA20" i="103"/>
  <c r="DC20" i="103"/>
  <c r="CU20" i="103" s="1"/>
  <c r="CD23" i="103"/>
  <c r="CC23" i="103" s="1"/>
  <c r="DC23" i="103"/>
  <c r="CU23" i="103" s="1"/>
  <c r="AA23" i="103"/>
  <c r="EN61" i="103"/>
  <c r="BZ61" i="103"/>
  <c r="DC61" i="103"/>
  <c r="CU61" i="103" s="1"/>
  <c r="CZ61" i="103"/>
  <c r="EN59" i="103"/>
  <c r="BZ59" i="103"/>
  <c r="DC59" i="103"/>
  <c r="CU59" i="103" s="1"/>
  <c r="CZ59" i="103"/>
  <c r="EN55" i="103"/>
  <c r="BZ55" i="103"/>
  <c r="CZ55" i="103"/>
  <c r="EN54" i="103"/>
  <c r="BZ54" i="103"/>
  <c r="DC54" i="103"/>
  <c r="EN52" i="103"/>
  <c r="BZ52" i="103"/>
  <c r="DC52" i="103"/>
  <c r="CU52" i="103" s="1"/>
  <c r="AA60" i="103"/>
  <c r="EN57" i="103"/>
  <c r="BZ57" i="103"/>
  <c r="DC57" i="103"/>
  <c r="CU57" i="103" s="1"/>
  <c r="CD54" i="103"/>
  <c r="CC54" i="103" s="1"/>
  <c r="AA54" i="103"/>
  <c r="CD52" i="103"/>
  <c r="CC52" i="103" s="1"/>
  <c r="AA52" i="103"/>
  <c r="AA51" i="103"/>
  <c r="BB56" i="103"/>
  <c r="AQ56" i="103"/>
  <c r="AP56" i="103"/>
  <c r="AR56" i="103"/>
  <c r="AC56" i="103"/>
  <c r="BB55" i="103"/>
  <c r="AQ55" i="103"/>
  <c r="AR55" i="103"/>
  <c r="AP55" i="103"/>
  <c r="AC55" i="103"/>
  <c r="BB53" i="103"/>
  <c r="AQ53" i="103"/>
  <c r="AR53" i="103"/>
  <c r="AP53" i="103"/>
  <c r="AC53" i="103"/>
  <c r="EN50" i="103"/>
  <c r="BZ50" i="103"/>
  <c r="DC50" i="103"/>
  <c r="BB58" i="103"/>
  <c r="AQ58" i="103"/>
  <c r="AR58" i="103"/>
  <c r="AC58" i="103"/>
  <c r="AP58" i="103"/>
  <c r="CD50" i="103"/>
  <c r="CC50" i="103" s="1"/>
  <c r="AA50" i="103"/>
  <c r="DC51" i="103"/>
  <c r="CU51" i="103" s="1"/>
  <c r="CV97" i="149"/>
  <c r="BZ97" i="149" s="1"/>
  <c r="AE102" i="149"/>
  <c r="AR102" i="149" s="1"/>
  <c r="CV116" i="149"/>
  <c r="CV23" i="149"/>
  <c r="BZ23" i="149" s="1"/>
  <c r="CV27" i="149"/>
  <c r="BZ27" i="149" s="1"/>
  <c r="CV28" i="149"/>
  <c r="BZ28" i="149" s="1"/>
  <c r="CV36" i="149"/>
  <c r="BZ36" i="149" s="1"/>
  <c r="DI36" i="149"/>
  <c r="X38" i="149"/>
  <c r="CJ38" i="149" s="1"/>
  <c r="CV89" i="149"/>
  <c r="BZ89" i="149" s="1"/>
  <c r="CV95" i="149"/>
  <c r="BZ95" i="149" s="1"/>
  <c r="CV96" i="149"/>
  <c r="BZ96" i="149" s="1"/>
  <c r="DB97" i="149"/>
  <c r="EN89" i="149"/>
  <c r="CV87" i="149"/>
  <c r="BZ87" i="149" s="1"/>
  <c r="DB89" i="149"/>
  <c r="CV92" i="149"/>
  <c r="BZ92" i="149" s="1"/>
  <c r="CV94" i="149"/>
  <c r="DL94" i="149"/>
  <c r="DB95" i="149"/>
  <c r="CV99" i="149"/>
  <c r="BZ99" i="149" s="1"/>
  <c r="DL100" i="149"/>
  <c r="X102" i="149"/>
  <c r="CJ102" i="149" s="1"/>
  <c r="CV102" i="149"/>
  <c r="BZ102" i="149" s="1"/>
  <c r="DI102" i="149"/>
  <c r="AE103" i="149"/>
  <c r="DL103" i="149"/>
  <c r="AE104" i="149"/>
  <c r="AR104" i="149" s="1"/>
  <c r="AE105" i="149"/>
  <c r="AR105" i="149" s="1"/>
  <c r="CV106" i="149"/>
  <c r="DI106" i="149"/>
  <c r="CV108" i="149"/>
  <c r="EN108" i="149" s="1"/>
  <c r="CV112" i="149"/>
  <c r="BZ112" i="149" s="1"/>
  <c r="DB23" i="149"/>
  <c r="EN116" i="149"/>
  <c r="BZ116" i="149"/>
  <c r="EN87" i="149"/>
  <c r="AE86" i="149"/>
  <c r="AR86" i="149" s="1"/>
  <c r="DB87" i="149"/>
  <c r="DB96" i="149"/>
  <c r="CV98" i="149"/>
  <c r="BZ98" i="149" s="1"/>
  <c r="DB108" i="149"/>
  <c r="CV109" i="149"/>
  <c r="EN109" i="149" s="1"/>
  <c r="DL111" i="149"/>
  <c r="DB112" i="149"/>
  <c r="CV114" i="149"/>
  <c r="BZ114" i="149" s="1"/>
  <c r="DB116" i="149"/>
  <c r="CV18" i="149"/>
  <c r="BZ18" i="149" s="1"/>
  <c r="DI18" i="149"/>
  <c r="X20" i="149"/>
  <c r="CJ20" i="149" s="1"/>
  <c r="CV25" i="149"/>
  <c r="BZ25" i="149" s="1"/>
  <c r="CV26" i="149"/>
  <c r="BZ26" i="149" s="1"/>
  <c r="CV29" i="149"/>
  <c r="BZ29" i="149" s="1"/>
  <c r="EN114" i="149"/>
  <c r="EN92" i="149"/>
  <c r="EN94" i="149"/>
  <c r="BZ94" i="149"/>
  <c r="BZ11" i="149"/>
  <c r="X85" i="149"/>
  <c r="CJ85" i="149" s="1"/>
  <c r="DB92" i="149"/>
  <c r="X98" i="149"/>
  <c r="CJ98" i="149" s="1"/>
  <c r="AE98" i="149"/>
  <c r="AR98" i="149" s="1"/>
  <c r="DB98" i="149"/>
  <c r="DB99" i="149"/>
  <c r="X107" i="149"/>
  <c r="CJ107" i="149" s="1"/>
  <c r="CV107" i="149"/>
  <c r="AE109" i="149"/>
  <c r="AR109" i="149" s="1"/>
  <c r="DB109" i="149"/>
  <c r="AE114" i="149"/>
  <c r="DB114" i="149"/>
  <c r="AE116" i="149"/>
  <c r="CV17" i="149"/>
  <c r="X18" i="149"/>
  <c r="CJ18" i="149" s="1"/>
  <c r="CV21" i="149"/>
  <c r="BZ21" i="149" s="1"/>
  <c r="CV24" i="149"/>
  <c r="BZ24" i="149" s="1"/>
  <c r="AE25" i="149"/>
  <c r="AR25" i="149" s="1"/>
  <c r="DB25" i="149"/>
  <c r="DB27" i="149"/>
  <c r="DB29" i="149"/>
  <c r="DL38" i="149"/>
  <c r="DB39" i="149"/>
  <c r="X40" i="149"/>
  <c r="CJ40" i="149" s="1"/>
  <c r="X86" i="149"/>
  <c r="CJ86" i="149" s="1"/>
  <c r="X90" i="149"/>
  <c r="CJ90" i="149" s="1"/>
  <c r="EM90" i="149"/>
  <c r="AE90" i="149"/>
  <c r="AR90" i="149" s="1"/>
  <c r="X92" i="149"/>
  <c r="CJ92" i="149" s="1"/>
  <c r="AE92" i="149"/>
  <c r="EM94" i="149"/>
  <c r="X96" i="149"/>
  <c r="CJ96" i="149" s="1"/>
  <c r="AE96" i="149"/>
  <c r="AR96" i="149" s="1"/>
  <c r="X100" i="149"/>
  <c r="CJ100" i="149" s="1"/>
  <c r="AE100" i="149"/>
  <c r="AR100" i="149" s="1"/>
  <c r="EM106" i="149"/>
  <c r="EM107" i="149"/>
  <c r="X111" i="149"/>
  <c r="CJ111" i="149" s="1"/>
  <c r="AE111" i="149"/>
  <c r="AR111" i="149" s="1"/>
  <c r="AE112" i="149"/>
  <c r="AR112" i="149" s="1"/>
  <c r="EM116" i="149"/>
  <c r="AE29" i="149"/>
  <c r="AR29" i="149" s="1"/>
  <c r="AE36" i="149"/>
  <c r="AR36" i="149" s="1"/>
  <c r="AR114" i="149"/>
  <c r="AC114" i="149"/>
  <c r="BB114" i="149"/>
  <c r="AA114" i="149" s="1"/>
  <c r="X88" i="149"/>
  <c r="CJ88" i="149" s="1"/>
  <c r="EM88" i="149"/>
  <c r="AE88" i="149"/>
  <c r="AR88" i="149" s="1"/>
  <c r="X93" i="149"/>
  <c r="CJ93" i="149" s="1"/>
  <c r="AE93" i="149"/>
  <c r="AR93" i="149" s="1"/>
  <c r="AE94" i="149"/>
  <c r="AR94" i="149" s="1"/>
  <c r="X97" i="149"/>
  <c r="CJ97" i="149" s="1"/>
  <c r="AE97" i="149"/>
  <c r="AR97" i="149" s="1"/>
  <c r="X99" i="149"/>
  <c r="CJ99" i="149" s="1"/>
  <c r="AE99" i="149"/>
  <c r="AR99" i="149" s="1"/>
  <c r="X101" i="149"/>
  <c r="CJ101" i="149" s="1"/>
  <c r="AE101" i="149"/>
  <c r="AR101" i="149" s="1"/>
  <c r="AD106" i="149"/>
  <c r="BB106" i="149" s="1"/>
  <c r="CD106" i="149" s="1"/>
  <c r="X108" i="149"/>
  <c r="CJ108" i="149" s="1"/>
  <c r="AE108" i="149"/>
  <c r="AR108" i="149" s="1"/>
  <c r="X110" i="149"/>
  <c r="CJ110" i="149" s="1"/>
  <c r="AE110" i="149"/>
  <c r="AR110" i="149" s="1"/>
  <c r="X113" i="149"/>
  <c r="CJ113" i="149" s="1"/>
  <c r="EM113" i="149"/>
  <c r="AE113" i="149"/>
  <c r="AR113" i="149" s="1"/>
  <c r="X15" i="149"/>
  <c r="CJ15" i="149" s="1"/>
  <c r="EM15" i="149"/>
  <c r="X16" i="149"/>
  <c r="CJ16" i="149" s="1"/>
  <c r="AE18" i="149"/>
  <c r="AR18" i="149" s="1"/>
  <c r="X19" i="149"/>
  <c r="CJ19" i="149" s="1"/>
  <c r="X22" i="149"/>
  <c r="CJ22" i="149" s="1"/>
  <c r="EM22" i="149"/>
  <c r="AE22" i="149"/>
  <c r="AR22" i="149" s="1"/>
  <c r="AE27" i="149"/>
  <c r="AR27" i="149" s="1"/>
  <c r="X34" i="149"/>
  <c r="CJ34" i="149" s="1"/>
  <c r="AE34" i="149"/>
  <c r="AR34" i="149" s="1"/>
  <c r="X35" i="149"/>
  <c r="CJ35" i="149" s="1"/>
  <c r="AE35" i="149"/>
  <c r="AR35" i="149" s="1"/>
  <c r="X36" i="149"/>
  <c r="CJ36" i="149" s="1"/>
  <c r="X37" i="149"/>
  <c r="CJ37" i="149" s="1"/>
  <c r="AE39" i="149"/>
  <c r="AR39" i="149" s="1"/>
  <c r="EN17" i="149"/>
  <c r="BZ17" i="149"/>
  <c r="EM20" i="149"/>
  <c r="EM16" i="149"/>
  <c r="DB19" i="149"/>
  <c r="CV16" i="149"/>
  <c r="BZ16" i="149" s="1"/>
  <c r="DI16" i="149"/>
  <c r="AE17" i="149"/>
  <c r="AR17" i="149" s="1"/>
  <c r="DB17" i="149"/>
  <c r="CV20" i="149"/>
  <c r="DI20" i="149"/>
  <c r="AE21" i="149"/>
  <c r="AR21" i="149" s="1"/>
  <c r="DB21" i="149"/>
  <c r="X24" i="149"/>
  <c r="CJ24" i="149" s="1"/>
  <c r="AE24" i="149"/>
  <c r="AR24" i="149" s="1"/>
  <c r="DB24" i="149"/>
  <c r="X26" i="149"/>
  <c r="CJ26" i="149" s="1"/>
  <c r="AE26" i="149"/>
  <c r="AR26" i="149" s="1"/>
  <c r="DB26" i="149"/>
  <c r="X28" i="149"/>
  <c r="CJ28" i="149" s="1"/>
  <c r="AE28" i="149"/>
  <c r="AR28" i="149" s="1"/>
  <c r="DB28" i="149"/>
  <c r="X30" i="149"/>
  <c r="CJ30" i="149" s="1"/>
  <c r="EM30" i="149"/>
  <c r="AE30" i="149"/>
  <c r="AR30" i="149" s="1"/>
  <c r="CV31" i="149"/>
  <c r="DI31" i="149"/>
  <c r="CV32" i="149"/>
  <c r="DI32" i="149"/>
  <c r="CV37" i="149"/>
  <c r="DI37" i="149"/>
  <c r="CD85" i="149"/>
  <c r="AA85" i="149"/>
  <c r="EN106" i="149"/>
  <c r="BZ106" i="149"/>
  <c r="EN107" i="149"/>
  <c r="BZ107" i="149"/>
  <c r="EM87" i="149"/>
  <c r="EM89" i="149"/>
  <c r="EM91" i="149"/>
  <c r="EM95" i="149"/>
  <c r="CC96" i="149"/>
  <c r="DC96" i="149"/>
  <c r="CC97" i="149"/>
  <c r="DC97" i="149"/>
  <c r="CC98" i="149"/>
  <c r="DC98" i="149"/>
  <c r="CC99" i="149"/>
  <c r="DC99" i="149"/>
  <c r="CC101" i="149"/>
  <c r="AD103" i="149"/>
  <c r="AR106" i="149"/>
  <c r="CD108" i="149"/>
  <c r="AA108" i="149"/>
  <c r="DL108" i="149"/>
  <c r="DI108" i="149"/>
  <c r="CD110" i="149"/>
  <c r="CC110" i="149" s="1"/>
  <c r="AA110" i="149"/>
  <c r="CO11" i="149"/>
  <c r="AE69" i="149"/>
  <c r="EM85" i="149"/>
  <c r="AE85" i="149"/>
  <c r="AR85" i="149" s="1"/>
  <c r="EM86" i="149"/>
  <c r="X87" i="149"/>
  <c r="CJ87" i="149" s="1"/>
  <c r="AE87" i="149"/>
  <c r="AR87" i="149" s="1"/>
  <c r="DI87" i="149"/>
  <c r="AA88" i="149"/>
  <c r="X89" i="149"/>
  <c r="CJ89" i="149" s="1"/>
  <c r="AE89" i="149"/>
  <c r="AR89" i="149" s="1"/>
  <c r="DI89" i="149"/>
  <c r="AA90" i="149"/>
  <c r="X91" i="149"/>
  <c r="CJ91" i="149" s="1"/>
  <c r="AE91" i="149"/>
  <c r="AR91" i="149" s="1"/>
  <c r="EM92" i="149"/>
  <c r="DI92" i="149"/>
  <c r="AA93" i="149"/>
  <c r="EM93" i="149"/>
  <c r="X94" i="149"/>
  <c r="CJ94" i="149" s="1"/>
  <c r="BB94" i="149"/>
  <c r="CD94" i="149" s="1"/>
  <c r="X95" i="149"/>
  <c r="CJ95" i="149" s="1"/>
  <c r="AE95" i="149"/>
  <c r="AR95" i="149" s="1"/>
  <c r="DI95" i="149"/>
  <c r="AA96" i="149"/>
  <c r="EM96" i="149"/>
  <c r="DI96" i="149"/>
  <c r="AA97" i="149"/>
  <c r="EM97" i="149"/>
  <c r="DI97" i="149"/>
  <c r="AA98" i="149"/>
  <c r="EM98" i="149"/>
  <c r="DI98" i="149"/>
  <c r="AA99" i="149"/>
  <c r="EM99" i="149"/>
  <c r="DI99" i="149"/>
  <c r="DB102" i="149"/>
  <c r="CC104" i="149"/>
  <c r="EM105" i="149"/>
  <c r="X106" i="149"/>
  <c r="CJ106" i="149" s="1"/>
  <c r="AC106" i="149"/>
  <c r="AE106" i="149"/>
  <c r="DB106" i="149"/>
  <c r="BB107" i="149"/>
  <c r="AE107" i="149"/>
  <c r="AR107" i="149" s="1"/>
  <c r="DB107" i="149"/>
  <c r="DL107" i="149"/>
  <c r="DI107" i="149"/>
  <c r="X109" i="149"/>
  <c r="CJ109" i="149" s="1"/>
  <c r="CD109" i="149"/>
  <c r="AA109" i="149"/>
  <c r="DL109" i="149"/>
  <c r="DI109" i="149"/>
  <c r="CD19" i="149"/>
  <c r="AA19" i="149"/>
  <c r="BZ20" i="149"/>
  <c r="EM108" i="149"/>
  <c r="EM109" i="149"/>
  <c r="EM110" i="149"/>
  <c r="DL110" i="149"/>
  <c r="CC111" i="149"/>
  <c r="X112" i="149"/>
  <c r="CJ112" i="149" s="1"/>
  <c r="DI112" i="149"/>
  <c r="AA113" i="149"/>
  <c r="DL113" i="149"/>
  <c r="DI114" i="149"/>
  <c r="AE115" i="149"/>
  <c r="DI116" i="149"/>
  <c r="BB15" i="149"/>
  <c r="AE15" i="149"/>
  <c r="AR15" i="149" s="1"/>
  <c r="BB16" i="149"/>
  <c r="AE16" i="149"/>
  <c r="AR16" i="149" s="1"/>
  <c r="DB16" i="149"/>
  <c r="X17" i="149"/>
  <c r="CJ17" i="149" s="1"/>
  <c r="DI17" i="149"/>
  <c r="EM18" i="149"/>
  <c r="DB18" i="149"/>
  <c r="EM19" i="149"/>
  <c r="AE19" i="149"/>
  <c r="AR19" i="149" s="1"/>
  <c r="BB20" i="149"/>
  <c r="AE20" i="149"/>
  <c r="AR20" i="149" s="1"/>
  <c r="DB20" i="149"/>
  <c r="X21" i="149"/>
  <c r="CJ21" i="149" s="1"/>
  <c r="DI21" i="149"/>
  <c r="AA22" i="149"/>
  <c r="X23" i="149"/>
  <c r="CJ23" i="149" s="1"/>
  <c r="EM23" i="149"/>
  <c r="AE23" i="149"/>
  <c r="AR23" i="149" s="1"/>
  <c r="DL23" i="149"/>
  <c r="DI23" i="149"/>
  <c r="X25" i="149"/>
  <c r="CJ25" i="149" s="1"/>
  <c r="CD25" i="149"/>
  <c r="AA25" i="149"/>
  <c r="DC25" i="149"/>
  <c r="DL25" i="149"/>
  <c r="DI25" i="149"/>
  <c r="X27" i="149"/>
  <c r="CJ27" i="149" s="1"/>
  <c r="CD27" i="149"/>
  <c r="AA27" i="149"/>
  <c r="DL27" i="149"/>
  <c r="DI27" i="149"/>
  <c r="X29" i="149"/>
  <c r="CJ29" i="149" s="1"/>
  <c r="CD29" i="149"/>
  <c r="AA29" i="149"/>
  <c r="DL29" i="149"/>
  <c r="DI29" i="149"/>
  <c r="EM31" i="149"/>
  <c r="BB31" i="149"/>
  <c r="DC31" i="149" s="1"/>
  <c r="BZ32" i="149"/>
  <c r="CD38" i="149"/>
  <c r="AA38" i="149"/>
  <c r="EM17" i="149"/>
  <c r="EM21" i="149"/>
  <c r="CD24" i="149"/>
  <c r="CC24" i="149" s="1"/>
  <c r="AA24" i="149"/>
  <c r="DC24" i="149"/>
  <c r="CU24" i="149" s="1"/>
  <c r="DL24" i="149"/>
  <c r="DI24" i="149"/>
  <c r="CD26" i="149"/>
  <c r="AA26" i="149"/>
  <c r="DL26" i="149"/>
  <c r="DI26" i="149"/>
  <c r="CD28" i="149"/>
  <c r="AA28" i="149"/>
  <c r="DL28" i="149"/>
  <c r="DI28" i="149"/>
  <c r="CD30" i="149"/>
  <c r="AA30" i="149"/>
  <c r="BZ31" i="149"/>
  <c r="EM32" i="149"/>
  <c r="BB32" i="149"/>
  <c r="CD32" i="149" s="1"/>
  <c r="CC32" i="149" s="1"/>
  <c r="BB33" i="149"/>
  <c r="CD33" i="149" s="1"/>
  <c r="AE33" i="149"/>
  <c r="AR33" i="149" s="1"/>
  <c r="EM24" i="149"/>
  <c r="EM25" i="149"/>
  <c r="AE31" i="149"/>
  <c r="AR31" i="149" s="1"/>
  <c r="DB31" i="149"/>
  <c r="AE32" i="149"/>
  <c r="AR32" i="149" s="1"/>
  <c r="DB32" i="149"/>
  <c r="X33" i="149"/>
  <c r="CJ33" i="149" s="1"/>
  <c r="CC34" i="149"/>
  <c r="CC35" i="149"/>
  <c r="DB36" i="149"/>
  <c r="AE37" i="149"/>
  <c r="AR37" i="149" s="1"/>
  <c r="DB37" i="149"/>
  <c r="EM38" i="149"/>
  <c r="AE38" i="149"/>
  <c r="AR38" i="149" s="1"/>
  <c r="CV39" i="149"/>
  <c r="BZ39" i="149" s="1"/>
  <c r="DI39" i="149"/>
  <c r="EM40" i="149"/>
  <c r="AE40" i="149"/>
  <c r="CV15" i="149"/>
  <c r="DB15" i="149"/>
  <c r="DI15" i="149"/>
  <c r="AQ16" i="149"/>
  <c r="EN16" i="149"/>
  <c r="AQ17" i="149"/>
  <c r="BB17" i="149"/>
  <c r="CD17" i="149" s="1"/>
  <c r="CC17" i="149" s="1"/>
  <c r="CC25" i="149"/>
  <c r="AQ15" i="149"/>
  <c r="CY15" i="149"/>
  <c r="CZ15" i="149" s="1"/>
  <c r="CY16" i="149"/>
  <c r="CZ16" i="149" s="1"/>
  <c r="CY17" i="149"/>
  <c r="CZ17" i="149" s="1"/>
  <c r="EN18" i="149"/>
  <c r="AQ19" i="149"/>
  <c r="CC19" i="149"/>
  <c r="CY19" i="149"/>
  <c r="CZ19" i="149" s="1"/>
  <c r="DA19" i="149"/>
  <c r="DL19" i="149"/>
  <c r="AQ20" i="149"/>
  <c r="EN20" i="149"/>
  <c r="EN21" i="149"/>
  <c r="AQ22" i="149"/>
  <c r="CC22" i="149"/>
  <c r="CY22" i="149"/>
  <c r="CZ22" i="149" s="1"/>
  <c r="DA22" i="149"/>
  <c r="DL22" i="149"/>
  <c r="EN23" i="149"/>
  <c r="AQ24" i="149"/>
  <c r="EN24" i="149"/>
  <c r="AQ25" i="149"/>
  <c r="EN25" i="149"/>
  <c r="CC26" i="149"/>
  <c r="AQ26" i="149"/>
  <c r="DC26" i="149"/>
  <c r="CU26" i="149" s="1"/>
  <c r="DC27" i="149"/>
  <c r="CU27" i="149" s="1"/>
  <c r="DC28" i="149"/>
  <c r="CU28" i="149" s="1"/>
  <c r="DC29" i="149"/>
  <c r="CC33" i="149"/>
  <c r="AQ18" i="149"/>
  <c r="BB18" i="149"/>
  <c r="CD18" i="149" s="1"/>
  <c r="CC18" i="149" s="1"/>
  <c r="CY18" i="149"/>
  <c r="CZ18" i="149" s="1"/>
  <c r="CV19" i="149"/>
  <c r="CY20" i="149"/>
  <c r="CZ20" i="149" s="1"/>
  <c r="AQ21" i="149"/>
  <c r="BB21" i="149"/>
  <c r="CD21" i="149" s="1"/>
  <c r="CC21" i="149" s="1"/>
  <c r="CY21" i="149"/>
  <c r="CZ21" i="149" s="1"/>
  <c r="CV22" i="149"/>
  <c r="AQ23" i="149"/>
  <c r="BB23" i="149"/>
  <c r="CD23" i="149" s="1"/>
  <c r="CC23" i="149" s="1"/>
  <c r="CY23" i="149"/>
  <c r="CZ23" i="149" s="1"/>
  <c r="CY24" i="149"/>
  <c r="CZ24" i="149" s="1"/>
  <c r="CU25" i="149"/>
  <c r="CY25" i="149"/>
  <c r="CZ25" i="149" s="1"/>
  <c r="EM26" i="149"/>
  <c r="EN26" i="149"/>
  <c r="CC27" i="149"/>
  <c r="AQ27" i="149"/>
  <c r="EM27" i="149"/>
  <c r="EN27" i="149"/>
  <c r="CC28" i="149"/>
  <c r="AQ28" i="149"/>
  <c r="EM28" i="149"/>
  <c r="EN28" i="149"/>
  <c r="AQ29" i="149"/>
  <c r="EM29" i="149"/>
  <c r="EN39" i="149"/>
  <c r="EN29" i="149"/>
  <c r="AQ30" i="149"/>
  <c r="CC30" i="149"/>
  <c r="CY30" i="149"/>
  <c r="CZ30" i="149" s="1"/>
  <c r="DA30" i="149"/>
  <c r="DL30" i="149"/>
  <c r="AQ31" i="149"/>
  <c r="EN31" i="149"/>
  <c r="AQ32" i="149"/>
  <c r="EN32" i="149"/>
  <c r="CY33" i="149"/>
  <c r="CZ33" i="149" s="1"/>
  <c r="DA33" i="149"/>
  <c r="DL33" i="149"/>
  <c r="EM33" i="149"/>
  <c r="CY34" i="149"/>
  <c r="CZ34" i="149" s="1"/>
  <c r="DA34" i="149"/>
  <c r="DL34" i="149"/>
  <c r="EM34" i="149"/>
  <c r="CY35" i="149"/>
  <c r="CZ35" i="149" s="1"/>
  <c r="DA35" i="149"/>
  <c r="DL35" i="149"/>
  <c r="EM35" i="149"/>
  <c r="EM36" i="149"/>
  <c r="BB36" i="149"/>
  <c r="CD36" i="149" s="1"/>
  <c r="CC36" i="149" s="1"/>
  <c r="DC37" i="149"/>
  <c r="CU37" i="149" s="1"/>
  <c r="DA38" i="149"/>
  <c r="X39" i="149"/>
  <c r="CJ39" i="149" s="1"/>
  <c r="EM39" i="149"/>
  <c r="BB39" i="149"/>
  <c r="CD39" i="149" s="1"/>
  <c r="CC39" i="149" s="1"/>
  <c r="AR40" i="149"/>
  <c r="CY26" i="149"/>
  <c r="CZ26" i="149" s="1"/>
  <c r="CY27" i="149"/>
  <c r="CZ27" i="149" s="1"/>
  <c r="CY28" i="149"/>
  <c r="CZ28" i="149" s="1"/>
  <c r="CU29" i="149"/>
  <c r="CY29" i="149"/>
  <c r="CZ29" i="149" s="1"/>
  <c r="CV30" i="149"/>
  <c r="CY31" i="149"/>
  <c r="CZ31" i="149" s="1"/>
  <c r="CY32" i="149"/>
  <c r="CZ32" i="149" s="1"/>
  <c r="CV33" i="149"/>
  <c r="CV34" i="149"/>
  <c r="CV35" i="149"/>
  <c r="AQ36" i="149"/>
  <c r="EN36" i="149"/>
  <c r="CC37" i="149"/>
  <c r="AQ37" i="149"/>
  <c r="EM37" i="149"/>
  <c r="EN37" i="149"/>
  <c r="AQ38" i="149"/>
  <c r="CC38" i="149"/>
  <c r="CY38" i="149"/>
  <c r="CX38" i="149"/>
  <c r="DB38" i="149" s="1"/>
  <c r="CV38" i="149"/>
  <c r="AQ40" i="149"/>
  <c r="BB40" i="149"/>
  <c r="CY40" i="149"/>
  <c r="CZ40" i="149" s="1"/>
  <c r="DA40" i="149"/>
  <c r="DL40" i="149"/>
  <c r="CY36" i="149"/>
  <c r="CZ36" i="149" s="1"/>
  <c r="CY37" i="149"/>
  <c r="CZ37" i="149" s="1"/>
  <c r="AQ39" i="149"/>
  <c r="CY39" i="149"/>
  <c r="CZ39" i="149" s="1"/>
  <c r="AC40" i="149"/>
  <c r="AP40" i="149"/>
  <c r="CV40" i="149"/>
  <c r="CC92" i="149"/>
  <c r="CC93" i="149"/>
  <c r="CC94" i="149"/>
  <c r="CV85" i="149"/>
  <c r="DB85" i="149"/>
  <c r="DI85" i="149"/>
  <c r="BB86" i="149"/>
  <c r="CD86" i="149" s="1"/>
  <c r="CC86" i="149" s="1"/>
  <c r="CV86" i="149"/>
  <c r="DB86" i="149"/>
  <c r="DI86" i="149"/>
  <c r="AQ87" i="149"/>
  <c r="BB87" i="149"/>
  <c r="CD87" i="149" s="1"/>
  <c r="CC87" i="149" s="1"/>
  <c r="CY87" i="149"/>
  <c r="CZ87" i="149" s="1"/>
  <c r="DC87" i="149"/>
  <c r="CV88" i="149"/>
  <c r="DB88" i="149"/>
  <c r="DI88" i="149"/>
  <c r="AQ89" i="149"/>
  <c r="BB89" i="149"/>
  <c r="CD89" i="149" s="1"/>
  <c r="CC89" i="149" s="1"/>
  <c r="CY89" i="149"/>
  <c r="CZ89" i="149" s="1"/>
  <c r="DC89" i="149"/>
  <c r="CV90" i="149"/>
  <c r="DB90" i="149"/>
  <c r="DI90" i="149"/>
  <c r="AQ91" i="149"/>
  <c r="BB91" i="149"/>
  <c r="CD91" i="149" s="1"/>
  <c r="CC91" i="149" s="1"/>
  <c r="CV91" i="149"/>
  <c r="DB91" i="149"/>
  <c r="DI91" i="149"/>
  <c r="AA92" i="149"/>
  <c r="CY92" i="149"/>
  <c r="CZ92" i="149" s="1"/>
  <c r="DC92" i="149"/>
  <c r="CV93" i="149"/>
  <c r="DB93" i="149"/>
  <c r="DI93" i="149"/>
  <c r="AQ94" i="149"/>
  <c r="DB94" i="149"/>
  <c r="CY94" i="149"/>
  <c r="CZ94" i="149" s="1"/>
  <c r="DC94" i="149"/>
  <c r="CU94" i="149" s="1"/>
  <c r="AQ85" i="149"/>
  <c r="CC85" i="149"/>
  <c r="CY85" i="149"/>
  <c r="CZ85" i="149" s="1"/>
  <c r="CY86" i="149"/>
  <c r="CZ86" i="149" s="1"/>
  <c r="AQ88" i="149"/>
  <c r="CC88" i="149"/>
  <c r="CY88" i="149"/>
  <c r="CZ88" i="149" s="1"/>
  <c r="AQ90" i="149"/>
  <c r="CC90" i="149"/>
  <c r="CY90" i="149"/>
  <c r="CZ90" i="149" s="1"/>
  <c r="CY91" i="149"/>
  <c r="CZ91" i="149" s="1"/>
  <c r="AQ93" i="149"/>
  <c r="CY93" i="149"/>
  <c r="CZ93" i="149" s="1"/>
  <c r="EN95" i="149"/>
  <c r="AQ96" i="149"/>
  <c r="EN96" i="149"/>
  <c r="AQ97" i="149"/>
  <c r="EN97" i="149"/>
  <c r="AQ98" i="149"/>
  <c r="EN98" i="149"/>
  <c r="AQ99" i="149"/>
  <c r="EN99" i="149"/>
  <c r="DA100" i="149"/>
  <c r="CX101" i="149"/>
  <c r="CZ101" i="149" s="1"/>
  <c r="CV101" i="149"/>
  <c r="EM102" i="149"/>
  <c r="BB102" i="149"/>
  <c r="CD102" i="149" s="1"/>
  <c r="AG103" i="149"/>
  <c r="CX103" i="149"/>
  <c r="CZ103" i="149" s="1"/>
  <c r="CV103" i="149"/>
  <c r="EM103" i="149"/>
  <c r="DA104" i="149"/>
  <c r="DL104" i="149"/>
  <c r="CC106" i="149"/>
  <c r="AQ95" i="149"/>
  <c r="BB95" i="149"/>
  <c r="CD95" i="149" s="1"/>
  <c r="CC95" i="149" s="1"/>
  <c r="CY95" i="149"/>
  <c r="CZ95" i="149" s="1"/>
  <c r="CU96" i="149"/>
  <c r="CY96" i="149"/>
  <c r="CZ96" i="149" s="1"/>
  <c r="CU97" i="149"/>
  <c r="CY97" i="149"/>
  <c r="CZ97" i="149" s="1"/>
  <c r="CU98" i="149"/>
  <c r="CY98" i="149"/>
  <c r="CZ98" i="149" s="1"/>
  <c r="CU99" i="149"/>
  <c r="CY99" i="149"/>
  <c r="CZ99" i="149" s="1"/>
  <c r="CC100" i="149"/>
  <c r="CY100" i="149"/>
  <c r="CX100" i="149"/>
  <c r="DB100" i="149" s="1"/>
  <c r="CV100" i="149"/>
  <c r="EM100" i="149"/>
  <c r="DA101" i="149"/>
  <c r="DL101" i="149"/>
  <c r="EM101" i="149"/>
  <c r="CC102" i="149"/>
  <c r="EN102" i="149"/>
  <c r="BB103" i="149"/>
  <c r="AR103" i="149"/>
  <c r="AC103" i="149"/>
  <c r="AS103" i="149"/>
  <c r="DB103" i="149"/>
  <c r="DA103" i="149"/>
  <c r="CX104" i="149"/>
  <c r="DB104" i="149" s="1"/>
  <c r="CV104" i="149"/>
  <c r="EM104" i="149"/>
  <c r="AQ102" i="149"/>
  <c r="CY102" i="149"/>
  <c r="CZ102" i="149" s="1"/>
  <c r="BB105" i="149"/>
  <c r="CD105" i="149" s="1"/>
  <c r="CC105" i="149" s="1"/>
  <c r="CV105" i="149"/>
  <c r="DB105" i="149"/>
  <c r="DI105" i="149"/>
  <c r="AA106" i="149"/>
  <c r="AG106" i="149"/>
  <c r="AS106" i="149"/>
  <c r="CY106" i="149"/>
  <c r="CZ106" i="149" s="1"/>
  <c r="DC106" i="149"/>
  <c r="CU106" i="149" s="1"/>
  <c r="CY107" i="149"/>
  <c r="CZ107" i="149" s="1"/>
  <c r="DC107" i="149"/>
  <c r="CU107" i="149" s="1"/>
  <c r="CC108" i="149"/>
  <c r="CY108" i="149"/>
  <c r="CZ108" i="149" s="1"/>
  <c r="DC108" i="149"/>
  <c r="CU108" i="149" s="1"/>
  <c r="CC109" i="149"/>
  <c r="CY109" i="149"/>
  <c r="CZ109" i="149" s="1"/>
  <c r="DC109" i="149"/>
  <c r="CU109" i="149" s="1"/>
  <c r="CX110" i="149"/>
  <c r="CZ110" i="149" s="1"/>
  <c r="CV110" i="149"/>
  <c r="CX111" i="149"/>
  <c r="CZ111" i="149" s="1"/>
  <c r="CV111" i="149"/>
  <c r="EM111" i="149"/>
  <c r="AQ113" i="149"/>
  <c r="CC113" i="149"/>
  <c r="CX113" i="149"/>
  <c r="CZ113" i="149" s="1"/>
  <c r="CV113" i="149"/>
  <c r="EM114" i="149"/>
  <c r="CD114" i="149"/>
  <c r="CC114" i="149" s="1"/>
  <c r="AD115" i="149"/>
  <c r="DA115" i="149"/>
  <c r="DL115" i="149"/>
  <c r="X116" i="149"/>
  <c r="CJ116" i="149" s="1"/>
  <c r="CY105" i="149"/>
  <c r="CZ105" i="149" s="1"/>
  <c r="AQ110" i="149"/>
  <c r="DA110" i="149"/>
  <c r="DA111" i="149"/>
  <c r="EM112" i="149"/>
  <c r="BB112" i="149"/>
  <c r="CD112" i="149" s="1"/>
  <c r="CC112" i="149" s="1"/>
  <c r="DB113" i="149"/>
  <c r="DA113" i="149"/>
  <c r="DC114" i="149"/>
  <c r="CX115" i="149"/>
  <c r="DB115" i="149" s="1"/>
  <c r="CV115" i="149"/>
  <c r="EM115" i="149"/>
  <c r="AQ112" i="149"/>
  <c r="CY112" i="149"/>
  <c r="CZ112" i="149" s="1"/>
  <c r="AG114" i="149"/>
  <c r="AS114" i="149"/>
  <c r="CY114" i="149"/>
  <c r="CZ114" i="149" s="1"/>
  <c r="AD116" i="149"/>
  <c r="CY116" i="149"/>
  <c r="CZ116" i="149" s="1"/>
  <c r="AE71" i="149"/>
  <c r="X69" i="149"/>
  <c r="CK69" i="149" s="1"/>
  <c r="EL69" i="149"/>
  <c r="X71" i="149"/>
  <c r="CD71" i="149" s="1"/>
  <c r="EE71" i="149"/>
  <c r="EE11" i="149"/>
  <c r="CV11" i="149"/>
  <c r="CN11" i="149" s="1"/>
  <c r="CR11" i="149"/>
  <c r="CS11" i="149" s="1"/>
  <c r="CT11" i="149"/>
  <c r="DE11" i="149"/>
  <c r="AD69" i="149"/>
  <c r="CW69" i="149"/>
  <c r="DC69" i="149"/>
  <c r="DJ69" i="149"/>
  <c r="AD71" i="149"/>
  <c r="CP71" i="149"/>
  <c r="CV71" i="149"/>
  <c r="DC71" i="149"/>
  <c r="CZ69" i="149"/>
  <c r="DA69" i="149" s="1"/>
  <c r="CS71" i="149"/>
  <c r="CT71" i="149" s="1"/>
  <c r="CU50" i="103" l="1"/>
  <c r="CU54" i="103"/>
  <c r="CD58" i="103"/>
  <c r="CC58" i="103" s="1"/>
  <c r="AA58" i="103"/>
  <c r="DC58" i="103"/>
  <c r="CU58" i="103" s="1"/>
  <c r="CD55" i="103"/>
  <c r="CC55" i="103" s="1"/>
  <c r="AA55" i="103"/>
  <c r="DC55" i="103"/>
  <c r="CU55" i="103" s="1"/>
  <c r="CD53" i="103"/>
  <c r="CC53" i="103" s="1"/>
  <c r="AA53" i="103"/>
  <c r="DC53" i="103"/>
  <c r="CU53" i="103" s="1"/>
  <c r="CD56" i="103"/>
  <c r="CC56" i="103" s="1"/>
  <c r="DC56" i="103"/>
  <c r="CU56" i="103" s="1"/>
  <c r="AA56" i="103"/>
  <c r="CU89" i="149"/>
  <c r="EN112" i="149"/>
  <c r="CU114" i="149"/>
  <c r="CU92" i="149"/>
  <c r="CU87" i="149"/>
  <c r="DB101" i="149"/>
  <c r="CU31" i="149"/>
  <c r="CC29" i="149"/>
  <c r="CZ115" i="149"/>
  <c r="DC112" i="149"/>
  <c r="CU112" i="149" s="1"/>
  <c r="DC36" i="149"/>
  <c r="CU36" i="149" s="1"/>
  <c r="DC17" i="149"/>
  <c r="CU17" i="149" s="1"/>
  <c r="DC32" i="149"/>
  <c r="CU32" i="149" s="1"/>
  <c r="CD20" i="149"/>
  <c r="CC20" i="149" s="1"/>
  <c r="AA20" i="149"/>
  <c r="CD16" i="149"/>
  <c r="CC16" i="149" s="1"/>
  <c r="AA16" i="149"/>
  <c r="CD15" i="149"/>
  <c r="CC15" i="149" s="1"/>
  <c r="AA15" i="149"/>
  <c r="DC20" i="149"/>
  <c r="CU20" i="149" s="1"/>
  <c r="DC16" i="149"/>
  <c r="CU16" i="149" s="1"/>
  <c r="CD107" i="149"/>
  <c r="CC107" i="149" s="1"/>
  <c r="AA107" i="149"/>
  <c r="AA32" i="149"/>
  <c r="AA36" i="149"/>
  <c r="AA33" i="149"/>
  <c r="CD31" i="149"/>
  <c r="CC31" i="149" s="1"/>
  <c r="AA31" i="149"/>
  <c r="AA94" i="149"/>
  <c r="EN34" i="149"/>
  <c r="DC34" i="149"/>
  <c r="CU34" i="149" s="1"/>
  <c r="EN19" i="149"/>
  <c r="BZ19" i="149"/>
  <c r="DC19" i="149"/>
  <c r="DC18" i="149"/>
  <c r="CU18" i="149" s="1"/>
  <c r="AA23" i="149"/>
  <c r="DC21" i="149"/>
  <c r="CU21" i="149" s="1"/>
  <c r="DC15" i="149"/>
  <c r="EN15" i="149"/>
  <c r="BZ15" i="149"/>
  <c r="CU15" i="149" s="1"/>
  <c r="CD40" i="149"/>
  <c r="CC40" i="149" s="1"/>
  <c r="AA40" i="149"/>
  <c r="EN40" i="149"/>
  <c r="BZ40" i="149"/>
  <c r="DC40" i="149"/>
  <c r="EN38" i="149"/>
  <c r="BZ38" i="149"/>
  <c r="DC38" i="149"/>
  <c r="CZ38" i="149"/>
  <c r="EN35" i="149"/>
  <c r="DC35" i="149"/>
  <c r="CU35" i="149" s="1"/>
  <c r="EN33" i="149"/>
  <c r="BZ33" i="149"/>
  <c r="DC33" i="149"/>
  <c r="EN30" i="149"/>
  <c r="BZ30" i="149"/>
  <c r="DC30" i="149"/>
  <c r="AA39" i="149"/>
  <c r="DC39" i="149"/>
  <c r="CU39" i="149" s="1"/>
  <c r="EN22" i="149"/>
  <c r="BZ22" i="149"/>
  <c r="DC22" i="149"/>
  <c r="AA18" i="149"/>
  <c r="DC23" i="149"/>
  <c r="CU23" i="149" s="1"/>
  <c r="AA21" i="149"/>
  <c r="AA17" i="149"/>
  <c r="BB116" i="149"/>
  <c r="AQ116" i="149"/>
  <c r="AP116" i="149"/>
  <c r="AR116" i="149"/>
  <c r="AC116" i="149"/>
  <c r="EN115" i="149"/>
  <c r="BZ115" i="149"/>
  <c r="AA112" i="149"/>
  <c r="DB111" i="149"/>
  <c r="DB110" i="149"/>
  <c r="BB115" i="149"/>
  <c r="AR115" i="149"/>
  <c r="AC115" i="149"/>
  <c r="AG115" i="149"/>
  <c r="AS115" i="149"/>
  <c r="EN113" i="149"/>
  <c r="BZ113" i="149"/>
  <c r="DC113" i="149"/>
  <c r="EN111" i="149"/>
  <c r="DC111" i="149"/>
  <c r="CU111" i="149" s="1"/>
  <c r="EN110" i="149"/>
  <c r="DC110" i="149"/>
  <c r="BZ110" i="149"/>
  <c r="DC105" i="149"/>
  <c r="EN105" i="149"/>
  <c r="BZ105" i="149"/>
  <c r="AA105" i="149"/>
  <c r="EN104" i="149"/>
  <c r="BZ104" i="149"/>
  <c r="DC104" i="149"/>
  <c r="CZ104" i="149"/>
  <c r="CD103" i="149"/>
  <c r="CC103" i="149" s="1"/>
  <c r="AA103" i="149"/>
  <c r="EN100" i="149"/>
  <c r="BZ100" i="149"/>
  <c r="DC100" i="149"/>
  <c r="CZ100" i="149"/>
  <c r="EN103" i="149"/>
  <c r="BZ103" i="149"/>
  <c r="DC103" i="149"/>
  <c r="DC102" i="149"/>
  <c r="CU102" i="149" s="1"/>
  <c r="EN101" i="149"/>
  <c r="BZ101" i="149"/>
  <c r="DC101" i="149"/>
  <c r="AA95" i="149"/>
  <c r="DC91" i="149"/>
  <c r="EN91" i="149"/>
  <c r="BZ91" i="149"/>
  <c r="AA91" i="149"/>
  <c r="AA89" i="149"/>
  <c r="AA87" i="149"/>
  <c r="AA102" i="149"/>
  <c r="DC95" i="149"/>
  <c r="CU95" i="149" s="1"/>
  <c r="DC93" i="149"/>
  <c r="EN93" i="149"/>
  <c r="BZ93" i="149"/>
  <c r="DC90" i="149"/>
  <c r="EN90" i="149"/>
  <c r="BZ90" i="149"/>
  <c r="CU90" i="149" s="1"/>
  <c r="DC88" i="149"/>
  <c r="EN88" i="149"/>
  <c r="BZ88" i="149"/>
  <c r="DC86" i="149"/>
  <c r="EN86" i="149"/>
  <c r="BZ86" i="149"/>
  <c r="CU86" i="149" s="1"/>
  <c r="DC85" i="149"/>
  <c r="EN85" i="149"/>
  <c r="BZ85" i="149"/>
  <c r="AA86" i="149"/>
  <c r="CW71" i="149"/>
  <c r="BR71" i="149"/>
  <c r="EF71" i="149"/>
  <c r="EM69" i="149"/>
  <c r="CA69" i="149"/>
  <c r="CA71" i="149"/>
  <c r="AR71" i="149"/>
  <c r="AC71" i="149"/>
  <c r="AS71" i="149"/>
  <c r="AG71" i="149"/>
  <c r="AR69" i="149"/>
  <c r="AP69" i="149"/>
  <c r="AC69" i="149"/>
  <c r="BA69" i="149"/>
  <c r="AQ69" i="149"/>
  <c r="CO71" i="149" l="1"/>
  <c r="CU101" i="149"/>
  <c r="CU103" i="149"/>
  <c r="CU104" i="149"/>
  <c r="CU110" i="149"/>
  <c r="CU113" i="149"/>
  <c r="CU91" i="149"/>
  <c r="CU30" i="149"/>
  <c r="CU40" i="149"/>
  <c r="CU19" i="149"/>
  <c r="CU88" i="149"/>
  <c r="CU85" i="149"/>
  <c r="CU93" i="149"/>
  <c r="CU22" i="149"/>
  <c r="CU33" i="149"/>
  <c r="CU38" i="149"/>
  <c r="CU100" i="149"/>
  <c r="CU105" i="149"/>
  <c r="CD115" i="149"/>
  <c r="CC115" i="149" s="1"/>
  <c r="AA115" i="149"/>
  <c r="DC115" i="149"/>
  <c r="CU115" i="149" s="1"/>
  <c r="CD116" i="149"/>
  <c r="CC116" i="149" s="1"/>
  <c r="DC116" i="149"/>
  <c r="CU116" i="149" s="1"/>
  <c r="AA116" i="149"/>
  <c r="CE69" i="149"/>
  <c r="CD69" i="149" s="1"/>
  <c r="AA69" i="149"/>
  <c r="DD69" i="149"/>
  <c r="CV69" i="149" s="1"/>
  <c r="EE108" i="103" l="1"/>
  <c r="EF108" i="103" s="1"/>
  <c r="DM108" i="103"/>
  <c r="DH108" i="103"/>
  <c r="DI108" i="103" s="1"/>
  <c r="DG108" i="103"/>
  <c r="DF108" i="103"/>
  <c r="CX108" i="103" s="1"/>
  <c r="DD108" i="103"/>
  <c r="CW108" i="103"/>
  <c r="DB108" i="103" s="1"/>
  <c r="CP108" i="103"/>
  <c r="CK108" i="103"/>
  <c r="CE108" i="103"/>
  <c r="CB108" i="103"/>
  <c r="CA108" i="103"/>
  <c r="BY108" i="103"/>
  <c r="BP108" i="103"/>
  <c r="BF108" i="103"/>
  <c r="BE108" i="103"/>
  <c r="BB108" i="103" s="1"/>
  <c r="CD108" i="103" s="1"/>
  <c r="BD108" i="103"/>
  <c r="BC108" i="103"/>
  <c r="AP108" i="103"/>
  <c r="AO108" i="103"/>
  <c r="AC108" i="103"/>
  <c r="Z108" i="103"/>
  <c r="W108" i="103"/>
  <c r="U108" i="103"/>
  <c r="T108" i="103"/>
  <c r="Q108" i="103"/>
  <c r="O108" i="103" s="1"/>
  <c r="M108" i="103"/>
  <c r="D108" i="103"/>
  <c r="EE107" i="103"/>
  <c r="EF107" i="103" s="1"/>
  <c r="DM107" i="103"/>
  <c r="DH107" i="103"/>
  <c r="DI107" i="103" s="1"/>
  <c r="DG107" i="103"/>
  <c r="DF107" i="103"/>
  <c r="CX107" i="103" s="1"/>
  <c r="DD107" i="103"/>
  <c r="CW107" i="103"/>
  <c r="DB107" i="103" s="1"/>
  <c r="CP107" i="103"/>
  <c r="CK107" i="103"/>
  <c r="CE107" i="103"/>
  <c r="CB107" i="103"/>
  <c r="CA107" i="103"/>
  <c r="BY107" i="103"/>
  <c r="BP107" i="103"/>
  <c r="BF107" i="103"/>
  <c r="BE107" i="103"/>
  <c r="BB107" i="103" s="1"/>
  <c r="CD107" i="103" s="1"/>
  <c r="BD107" i="103"/>
  <c r="BC107" i="103"/>
  <c r="AP107" i="103"/>
  <c r="AO107" i="103"/>
  <c r="Z107" i="103"/>
  <c r="W107" i="103"/>
  <c r="U107" i="103"/>
  <c r="T107" i="103"/>
  <c r="Q107" i="103"/>
  <c r="O107" i="103" s="1"/>
  <c r="M107" i="103"/>
  <c r="D107" i="103"/>
  <c r="EE106" i="103"/>
  <c r="EF106" i="103" s="1"/>
  <c r="DM106" i="103"/>
  <c r="DL106" i="103"/>
  <c r="DH106" i="103"/>
  <c r="DI106" i="103" s="1"/>
  <c r="DG106" i="103"/>
  <c r="DF106" i="103"/>
  <c r="DD106" i="103"/>
  <c r="CW106" i="103"/>
  <c r="CP106" i="103"/>
  <c r="CK106" i="103"/>
  <c r="CE106" i="103"/>
  <c r="CB106" i="103"/>
  <c r="CA106" i="103"/>
  <c r="BY106" i="103"/>
  <c r="BP106" i="103"/>
  <c r="BF106" i="103"/>
  <c r="BE106" i="103"/>
  <c r="BB106" i="103" s="1"/>
  <c r="BD106" i="103"/>
  <c r="BC106" i="103"/>
  <c r="AP106" i="103"/>
  <c r="AO106" i="103"/>
  <c r="Z106" i="103"/>
  <c r="W106" i="103"/>
  <c r="U106" i="103"/>
  <c r="T106" i="103"/>
  <c r="Q106" i="103"/>
  <c r="O106" i="103" s="1"/>
  <c r="M106" i="103"/>
  <c r="D106" i="103"/>
  <c r="EE105" i="103"/>
  <c r="EF105" i="103" s="1"/>
  <c r="DM105" i="103"/>
  <c r="DH105" i="103"/>
  <c r="DI105" i="103" s="1"/>
  <c r="DG105" i="103"/>
  <c r="DF105" i="103"/>
  <c r="DD105" i="103"/>
  <c r="CW105" i="103"/>
  <c r="CP105" i="103"/>
  <c r="CK105" i="103"/>
  <c r="CE105" i="103"/>
  <c r="CB105" i="103"/>
  <c r="CA105" i="103"/>
  <c r="BY105" i="103"/>
  <c r="BP105" i="103"/>
  <c r="BF105" i="103"/>
  <c r="BE105" i="103"/>
  <c r="AD105" i="103" s="1"/>
  <c r="BB105" i="103" s="1"/>
  <c r="BD105" i="103"/>
  <c r="BC105" i="103"/>
  <c r="AO105" i="103"/>
  <c r="Z105" i="103"/>
  <c r="W105" i="103"/>
  <c r="U105" i="103"/>
  <c r="T105" i="103"/>
  <c r="Q105" i="103"/>
  <c r="O105" i="103" s="1"/>
  <c r="M105" i="103"/>
  <c r="D105" i="103"/>
  <c r="EE104" i="103"/>
  <c r="EF104" i="103" s="1"/>
  <c r="DM104" i="103"/>
  <c r="DH104" i="103"/>
  <c r="DL104" i="103" s="1"/>
  <c r="DG104" i="103"/>
  <c r="CV104" i="103" s="1"/>
  <c r="BZ104" i="103" s="1"/>
  <c r="DF104" i="103"/>
  <c r="DD104" i="103"/>
  <c r="CX104" i="103"/>
  <c r="CW104" i="103"/>
  <c r="DA104" i="103" s="1"/>
  <c r="CP104" i="103"/>
  <c r="CK104" i="103"/>
  <c r="CE104" i="103"/>
  <c r="CB104" i="103"/>
  <c r="CA104" i="103"/>
  <c r="BY104" i="103"/>
  <c r="BP104" i="103"/>
  <c r="BF104" i="103"/>
  <c r="BE104" i="103"/>
  <c r="BD104" i="103"/>
  <c r="AE104" i="103" s="1"/>
  <c r="BC104" i="103"/>
  <c r="AO104" i="103"/>
  <c r="Z104" i="103"/>
  <c r="W104" i="103"/>
  <c r="U104" i="103"/>
  <c r="T104" i="103"/>
  <c r="Q104" i="103"/>
  <c r="O104" i="103" s="1"/>
  <c r="M104" i="103"/>
  <c r="D104" i="103"/>
  <c r="EE103" i="103"/>
  <c r="EF103" i="103" s="1"/>
  <c r="DM103" i="103"/>
  <c r="DH103" i="103"/>
  <c r="DI103" i="103" s="1"/>
  <c r="DG103" i="103"/>
  <c r="DF103" i="103"/>
  <c r="DD103" i="103"/>
  <c r="CW103" i="103"/>
  <c r="CY103" i="103" s="1"/>
  <c r="CP103" i="103"/>
  <c r="CK103" i="103"/>
  <c r="CE103" i="103"/>
  <c r="CB103" i="103"/>
  <c r="CA103" i="103"/>
  <c r="BY103" i="103"/>
  <c r="BP103" i="103"/>
  <c r="BF103" i="103"/>
  <c r="BE103" i="103"/>
  <c r="BD103" i="103"/>
  <c r="BC103" i="103"/>
  <c r="AO103" i="103"/>
  <c r="AD103" i="103"/>
  <c r="Z103" i="103"/>
  <c r="W103" i="103"/>
  <c r="U103" i="103"/>
  <c r="T103" i="103"/>
  <c r="Q103" i="103"/>
  <c r="O103" i="103" s="1"/>
  <c r="M103" i="103"/>
  <c r="D103" i="103"/>
  <c r="AE103" i="103" l="1"/>
  <c r="DB104" i="103"/>
  <c r="X106" i="103"/>
  <c r="CJ106" i="103" s="1"/>
  <c r="EM106" i="103"/>
  <c r="AR106" i="103"/>
  <c r="X103" i="103"/>
  <c r="CJ103" i="103" s="1"/>
  <c r="EM103" i="103"/>
  <c r="X105" i="103"/>
  <c r="CJ105" i="103" s="1"/>
  <c r="EM105" i="103"/>
  <c r="X107" i="103"/>
  <c r="CJ107" i="103" s="1"/>
  <c r="CC107" i="103" s="1"/>
  <c r="EM107" i="103"/>
  <c r="AR107" i="103"/>
  <c r="EM108" i="103"/>
  <c r="AE108" i="103"/>
  <c r="AR108" i="103" s="1"/>
  <c r="CD105" i="103"/>
  <c r="AA105" i="103"/>
  <c r="AE105" i="103"/>
  <c r="DI104" i="103"/>
  <c r="DL105" i="103"/>
  <c r="X108" i="103"/>
  <c r="CJ108" i="103" s="1"/>
  <c r="AR103" i="103"/>
  <c r="AP103" i="103"/>
  <c r="AC103" i="103"/>
  <c r="AQ103" i="103"/>
  <c r="CX103" i="103"/>
  <c r="CZ103" i="103" s="1"/>
  <c r="CV103" i="103"/>
  <c r="EM104" i="103"/>
  <c r="AD104" i="103"/>
  <c r="DA105" i="103"/>
  <c r="AQ106" i="103"/>
  <c r="CD106" i="103"/>
  <c r="AA106" i="103"/>
  <c r="DA106" i="103"/>
  <c r="BB103" i="103"/>
  <c r="DB103" i="103"/>
  <c r="DA103" i="103"/>
  <c r="DL103" i="103"/>
  <c r="X104" i="103"/>
  <c r="CJ104" i="103" s="1"/>
  <c r="EN104" i="103"/>
  <c r="AR105" i="103"/>
  <c r="AP105" i="103"/>
  <c r="AC105" i="103"/>
  <c r="AQ105" i="103"/>
  <c r="CC105" i="103"/>
  <c r="CY105" i="103"/>
  <c r="CX105" i="103"/>
  <c r="DB105" i="103" s="1"/>
  <c r="CV105" i="103"/>
  <c r="CC106" i="103"/>
  <c r="CY106" i="103"/>
  <c r="CX106" i="103"/>
  <c r="DB106" i="103" s="1"/>
  <c r="CV106" i="103"/>
  <c r="AQ107" i="103"/>
  <c r="CY107" i="103"/>
  <c r="CZ107" i="103" s="1"/>
  <c r="DA107" i="103"/>
  <c r="DL107" i="103"/>
  <c r="AQ108" i="103"/>
  <c r="CC108" i="103"/>
  <c r="CY108" i="103"/>
  <c r="CZ108" i="103" s="1"/>
  <c r="DA108" i="103"/>
  <c r="DL108" i="103"/>
  <c r="CY104" i="103"/>
  <c r="CZ104" i="103" s="1"/>
  <c r="AA107" i="103"/>
  <c r="CV107" i="103"/>
  <c r="AA108" i="103"/>
  <c r="CV108" i="103"/>
  <c r="EN108" i="103" l="1"/>
  <c r="BZ108" i="103"/>
  <c r="DC108" i="103"/>
  <c r="EN107" i="103"/>
  <c r="BZ107" i="103"/>
  <c r="DC107" i="103"/>
  <c r="EN106" i="103"/>
  <c r="BZ106" i="103"/>
  <c r="DC106" i="103"/>
  <c r="CZ106" i="103"/>
  <c r="EN105" i="103"/>
  <c r="BZ105" i="103"/>
  <c r="DC105" i="103"/>
  <c r="CZ105" i="103"/>
  <c r="CD103" i="103"/>
  <c r="CC103" i="103" s="1"/>
  <c r="AA103" i="103"/>
  <c r="BB104" i="103"/>
  <c r="AQ104" i="103"/>
  <c r="AR104" i="103"/>
  <c r="AC104" i="103"/>
  <c r="AP104" i="103"/>
  <c r="EN103" i="103"/>
  <c r="BZ103" i="103"/>
  <c r="DC103" i="103"/>
  <c r="CU105" i="103" l="1"/>
  <c r="CU106" i="103"/>
  <c r="CU108" i="103"/>
  <c r="CU103" i="103"/>
  <c r="CU107" i="103"/>
  <c r="CD104" i="103"/>
  <c r="CC104" i="103" s="1"/>
  <c r="DC104" i="103"/>
  <c r="CU104" i="103" s="1"/>
  <c r="AA104" i="103"/>
  <c r="D39" i="103" l="1"/>
  <c r="M39" i="103"/>
  <c r="Q39" i="103"/>
  <c r="O39" i="103" s="1"/>
  <c r="T39" i="103"/>
  <c r="U39" i="103"/>
  <c r="W39" i="103"/>
  <c r="Z39" i="103"/>
  <c r="AO39" i="103"/>
  <c r="BB39" i="103"/>
  <c r="BC39" i="103"/>
  <c r="BD39" i="103"/>
  <c r="BO39" i="103"/>
  <c r="BX39" i="103"/>
  <c r="BE39" i="103" s="1"/>
  <c r="BZ39" i="103"/>
  <c r="CA39" i="103"/>
  <c r="CD39" i="103"/>
  <c r="CJ39" i="103"/>
  <c r="CO39" i="103"/>
  <c r="CV39" i="103"/>
  <c r="CX39" i="103" s="1"/>
  <c r="DC39" i="103"/>
  <c r="DE39" i="103"/>
  <c r="CW39" i="103" s="1"/>
  <c r="DF39" i="103"/>
  <c r="DG39" i="103"/>
  <c r="DH39" i="103" s="1"/>
  <c r="DL39" i="103"/>
  <c r="EB39" i="103"/>
  <c r="EC39" i="103" s="1"/>
  <c r="CZ39" i="103" l="1"/>
  <c r="DK39" i="103"/>
  <c r="AE39" i="103"/>
  <c r="CU39" i="103"/>
  <c r="EK39" i="103" s="1"/>
  <c r="DA39" i="103"/>
  <c r="CY39" i="103"/>
  <c r="X39" i="103"/>
  <c r="CI39" i="103" s="1"/>
  <c r="BY39" i="103"/>
  <c r="EJ39" i="103"/>
  <c r="AD39" i="103"/>
  <c r="AC39" i="103" l="1"/>
  <c r="AP39" i="103"/>
  <c r="AR39" i="103"/>
  <c r="AQ39" i="103"/>
  <c r="BA39" i="103"/>
  <c r="CC39" i="103" l="1"/>
  <c r="CB39" i="103" s="1"/>
  <c r="AA39" i="103"/>
  <c r="DB39" i="103"/>
  <c r="CT39" i="103" s="1"/>
  <c r="B78" i="52" l="1"/>
  <c r="G127" i="52" l="1"/>
  <c r="H127" i="52" s="1"/>
  <c r="B127" i="52"/>
  <c r="G126" i="52"/>
  <c r="H126" i="52" s="1"/>
  <c r="B126" i="52"/>
  <c r="H125" i="52"/>
  <c r="G125" i="52"/>
  <c r="B125" i="52"/>
  <c r="G123" i="52"/>
  <c r="H123" i="52" s="1"/>
  <c r="B123" i="52"/>
  <c r="H122" i="52"/>
  <c r="G122" i="52"/>
  <c r="B122" i="52"/>
  <c r="G121" i="52"/>
  <c r="H121" i="52" s="1"/>
  <c r="B121" i="52"/>
  <c r="H120" i="52"/>
  <c r="G120" i="52"/>
  <c r="B120" i="52"/>
  <c r="G119" i="52"/>
  <c r="H119" i="52" s="1"/>
  <c r="B119" i="52"/>
  <c r="H118" i="52"/>
  <c r="G118" i="52"/>
  <c r="B118" i="52"/>
  <c r="G117" i="52"/>
  <c r="H117" i="52" s="1"/>
  <c r="B117" i="52"/>
  <c r="H116" i="52"/>
  <c r="G116" i="52"/>
  <c r="B116" i="52"/>
  <c r="B110" i="52"/>
  <c r="B109" i="52"/>
  <c r="B108" i="52"/>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B82" i="52"/>
  <c r="B81" i="52"/>
  <c r="B80" i="52"/>
  <c r="B79" i="52"/>
  <c r="B77" i="52"/>
  <c r="B76" i="52"/>
  <c r="B75" i="52"/>
  <c r="B74" i="52"/>
  <c r="B73" i="52"/>
  <c r="B72" i="52"/>
  <c r="B71" i="52"/>
  <c r="B70" i="52"/>
  <c r="B69" i="52"/>
  <c r="B68" i="52"/>
  <c r="B67" i="52"/>
  <c r="B66" i="52"/>
  <c r="B65" i="52"/>
  <c r="B64" i="52"/>
  <c r="B63" i="52"/>
  <c r="H60" i="52"/>
  <c r="G60" i="52"/>
  <c r="B60" i="52"/>
  <c r="G59" i="52"/>
  <c r="H59" i="52" s="1"/>
  <c r="B59" i="52"/>
  <c r="H58" i="52"/>
  <c r="G58" i="52"/>
  <c r="B58" i="52"/>
  <c r="G57" i="52"/>
  <c r="H57" i="52" s="1"/>
  <c r="B57" i="52"/>
  <c r="H56" i="52"/>
  <c r="G56" i="52"/>
  <c r="B56" i="52"/>
  <c r="G55" i="52"/>
  <c r="H55" i="52" s="1"/>
  <c r="B55" i="52"/>
  <c r="H54" i="52"/>
  <c r="G54" i="52"/>
  <c r="B54" i="52"/>
  <c r="G53" i="52"/>
  <c r="H53" i="52" s="1"/>
  <c r="B53" i="52"/>
  <c r="H52" i="52"/>
  <c r="G52" i="52"/>
  <c r="B52" i="52"/>
  <c r="G51" i="52"/>
  <c r="H51" i="52" s="1"/>
  <c r="B51" i="52"/>
  <c r="H50" i="52"/>
  <c r="G50" i="52"/>
  <c r="B50" i="52"/>
  <c r="G49" i="52"/>
  <c r="H49" i="52" s="1"/>
  <c r="B49" i="52"/>
  <c r="H48" i="52"/>
  <c r="G48" i="52"/>
  <c r="B48" i="52"/>
  <c r="G47" i="52"/>
  <c r="H47" i="52" s="1"/>
  <c r="B47" i="52"/>
  <c r="H46" i="52"/>
  <c r="G46" i="52"/>
  <c r="B46" i="52"/>
  <c r="G45" i="52"/>
  <c r="H45" i="52" s="1"/>
  <c r="B45" i="52"/>
  <c r="H44" i="52"/>
  <c r="G44" i="52"/>
  <c r="B44" i="52"/>
  <c r="G43" i="52"/>
  <c r="H43" i="52" s="1"/>
  <c r="B43" i="52"/>
  <c r="H42" i="52"/>
  <c r="G42" i="52"/>
  <c r="B42" i="52"/>
  <c r="G41" i="52"/>
  <c r="H41" i="52" s="1"/>
  <c r="B41" i="52"/>
  <c r="H40" i="52"/>
  <c r="G40" i="52"/>
  <c r="B40" i="52"/>
  <c r="G39" i="52"/>
  <c r="H39" i="52" s="1"/>
  <c r="B39" i="52"/>
  <c r="H38" i="52"/>
  <c r="G38" i="52"/>
  <c r="B38" i="52"/>
  <c r="G37" i="52"/>
  <c r="H37" i="52" s="1"/>
  <c r="B37" i="52"/>
  <c r="H36" i="52"/>
  <c r="G36" i="52"/>
  <c r="B36" i="52"/>
  <c r="G35" i="52"/>
  <c r="H35" i="52" s="1"/>
  <c r="B35" i="52"/>
  <c r="H34" i="52"/>
  <c r="G34" i="52"/>
  <c r="B34" i="52"/>
  <c r="G33" i="52"/>
  <c r="H33" i="52" s="1"/>
  <c r="B33" i="52"/>
  <c r="H32" i="52"/>
  <c r="G32" i="52"/>
  <c r="B32" i="52"/>
  <c r="G31" i="52"/>
  <c r="H31" i="52" s="1"/>
  <c r="B31" i="52"/>
  <c r="H30" i="52"/>
  <c r="G30" i="52"/>
  <c r="B30" i="52"/>
  <c r="G29" i="52"/>
  <c r="H29" i="52" s="1"/>
  <c r="B29" i="52"/>
  <c r="H28" i="52"/>
  <c r="G28" i="52"/>
  <c r="B28" i="52"/>
  <c r="G27" i="52"/>
  <c r="H27" i="52" s="1"/>
  <c r="B27" i="52"/>
  <c r="H26" i="52"/>
  <c r="G26" i="52"/>
  <c r="B26" i="52"/>
  <c r="G25" i="52"/>
  <c r="H25" i="52" s="1"/>
  <c r="B25" i="52"/>
  <c r="H24" i="52"/>
  <c r="G24" i="52"/>
  <c r="B24" i="52"/>
  <c r="G23" i="52"/>
  <c r="B23" i="52"/>
  <c r="H22" i="52"/>
  <c r="G22" i="52"/>
  <c r="B22" i="52"/>
  <c r="G21" i="52"/>
  <c r="H21" i="52" s="1"/>
  <c r="B21" i="52"/>
  <c r="H20" i="52"/>
  <c r="G20" i="52"/>
  <c r="B20" i="52"/>
  <c r="G19" i="52"/>
  <c r="H19" i="52" s="1"/>
  <c r="B19" i="52"/>
  <c r="H18" i="52"/>
  <c r="G18" i="52"/>
  <c r="B18" i="52"/>
  <c r="G17" i="52"/>
  <c r="B17" i="52"/>
  <c r="H16" i="52"/>
  <c r="G16" i="52"/>
  <c r="B16" i="52"/>
  <c r="G15" i="52"/>
  <c r="H15" i="52" s="1"/>
  <c r="B15" i="52"/>
  <c r="H14" i="52"/>
  <c r="G14" i="52"/>
  <c r="B14" i="52"/>
  <c r="G13" i="52"/>
  <c r="H13" i="52" s="1"/>
  <c r="B13" i="52"/>
  <c r="H12" i="52"/>
  <c r="G12" i="52"/>
  <c r="B12" i="52"/>
  <c r="M11" i="52"/>
  <c r="H11" i="52"/>
  <c r="G11" i="52"/>
  <c r="B11" i="52"/>
  <c r="M10" i="52"/>
  <c r="H10" i="52"/>
  <c r="G10" i="52"/>
  <c r="B10" i="52"/>
  <c r="G9" i="52"/>
  <c r="H9" i="52" s="1"/>
  <c r="B9" i="52"/>
  <c r="H8" i="52"/>
  <c r="G8" i="52"/>
  <c r="B8" i="52"/>
  <c r="G7" i="52"/>
  <c r="H7" i="52" s="1"/>
  <c r="B7" i="52"/>
  <c r="H6" i="52"/>
  <c r="G6" i="52"/>
  <c r="B6" i="52"/>
  <c r="G5" i="52"/>
  <c r="H5" i="52" s="1"/>
  <c r="B5" i="52"/>
  <c r="H4" i="52"/>
  <c r="G4" i="52"/>
  <c r="B4" i="52"/>
  <c r="G3" i="52"/>
  <c r="H3" i="52" s="1"/>
  <c r="B3" i="52"/>
  <c r="H2" i="52"/>
  <c r="G2" i="52"/>
  <c r="B2" i="52"/>
  <c r="H17" i="52" l="1"/>
  <c r="H23" i="52"/>
</calcChain>
</file>

<file path=xl/sharedStrings.xml><?xml version="1.0" encoding="utf-8"?>
<sst xmlns="http://schemas.openxmlformats.org/spreadsheetml/2006/main" count="6470" uniqueCount="657">
  <si>
    <t>1976</t>
  </si>
  <si>
    <t>Đinh Thị Minh Tuyết</t>
  </si>
  <si>
    <t>Biên tập viên</t>
  </si>
  <si>
    <t>Hoàng Thị Kim Chi</t>
  </si>
  <si>
    <t>Phòng Tổ chức - Cán bộ,</t>
  </si>
  <si>
    <t>Nguyễn Thị Thu Hà</t>
  </si>
  <si>
    <t>Bộ môn Mác - Lê nin và Tư tưởng Hồ Chí Minh,</t>
  </si>
  <si>
    <t>Bộ môn Nhà nước và Pháp luật,</t>
  </si>
  <si>
    <t>1963</t>
  </si>
  <si>
    <t>Thư viện viên chính</t>
  </si>
  <si>
    <t>Phòng Giáo dục thể chất - Chính trị và Quản lý sinh viên,</t>
  </si>
  <si>
    <t>06</t>
  </si>
  <si>
    <t>Nông Minh Đức</t>
  </si>
  <si>
    <t>Vũ Phương Nam</t>
  </si>
  <si>
    <t>Thanh tra viên</t>
  </si>
  <si>
    <t>Nguyễn Tiến Hiệp</t>
  </si>
  <si>
    <t>Tiếp HV:-2013</t>
  </si>
  <si>
    <t>Thiều Thị Thu Hương</t>
  </si>
  <si>
    <t>1975</t>
  </si>
  <si>
    <t>Lê Thị Thanh Hương</t>
  </si>
  <si>
    <t>Nguyễn Thị Nga</t>
  </si>
  <si>
    <t>Phạm Ngọc Hà</t>
  </si>
  <si>
    <t>Bộ môn Chính trị học,</t>
  </si>
  <si>
    <t>Nguyễn Thanh Nga</t>
  </si>
  <si>
    <t>Nguyễn Thị Khuyên</t>
  </si>
  <si>
    <t>Vũ Thị Mỹ Hằng</t>
  </si>
  <si>
    <t>Giáo viên trung học cơ sở chính</t>
  </si>
  <si>
    <t>Bùi Thị Thanh Thúy</t>
  </si>
  <si>
    <t>Nguyễn Thị Lê Thu</t>
  </si>
  <si>
    <t>Nguyễn Thị Hường</t>
  </si>
  <si>
    <t>Bộ môn Dân số - Lao động - Bảo trợ xã hội,</t>
  </si>
  <si>
    <t>Vũ Thị Minh Ngọc</t>
  </si>
  <si>
    <t>Nguyễn Hoàng Quy</t>
  </si>
  <si>
    <t>Giáo viên trung học cơ sở</t>
  </si>
  <si>
    <t>Đặng Thị Hà</t>
  </si>
  <si>
    <t>Hoàng Ngọc Âu</t>
  </si>
  <si>
    <t>Lê Quang Sự</t>
  </si>
  <si>
    <t>Bộ môn Chính sách tài chính quốc gia,</t>
  </si>
  <si>
    <t>Nguyễn Thị Hồng Hải</t>
  </si>
  <si>
    <t>Bộ môn Văn bản hành chính,</t>
  </si>
  <si>
    <t>Nguyễn Quỳnh Nga</t>
  </si>
  <si>
    <t>Nguyễn Thanh Giang</t>
  </si>
  <si>
    <t>Nguyễn Thị Quyên</t>
  </si>
  <si>
    <t>Phạm Thị Diễm</t>
  </si>
  <si>
    <t>Phạm Thị Ninh</t>
  </si>
  <si>
    <t>/-/ /-/</t>
  </si>
  <si>
    <t>Chuyên viên (cao đẳng)</t>
  </si>
  <si>
    <t>Phóng viên chính</t>
  </si>
  <si>
    <t>Phóng viên cao cấp</t>
  </si>
  <si>
    <t>Phóng viên</t>
  </si>
  <si>
    <t>17.143</t>
  </si>
  <si>
    <t>17.142</t>
  </si>
  <si>
    <t>17.144</t>
  </si>
  <si>
    <t>Thư viện viên trung cấp</t>
  </si>
  <si>
    <t>Doãn Minh Thắng</t>
  </si>
  <si>
    <t>Trần Cao Tùng</t>
  </si>
  <si>
    <t>Đặng Văn Quang</t>
  </si>
  <si>
    <t>Đinh Xuân Hậu</t>
  </si>
  <si>
    <t>Thủ kho bảo quản</t>
  </si>
  <si>
    <t>Nguyễn Anh Khoa</t>
  </si>
  <si>
    <t>Nguyễn Thị Hoa</t>
  </si>
  <si>
    <t>Kế toán viên trung cấp</t>
  </si>
  <si>
    <t>Kế toán viên chính</t>
  </si>
  <si>
    <t>Bộ môn Tin học,</t>
  </si>
  <si>
    <t>Bộ môn Ngoại ngữ,</t>
  </si>
  <si>
    <t>Đặng Thị Thanh Tâm</t>
  </si>
  <si>
    <t>Huỳnh Văn Thới</t>
  </si>
  <si>
    <t>Khoa Đào tạo và Bồi dưỡng,</t>
  </si>
  <si>
    <t>Kế toán viên (cao đẳng)</t>
  </si>
  <si>
    <t>Dương Văn Ninh</t>
  </si>
  <si>
    <t>Trung tâm Ngoại ngữ - Tin học,</t>
  </si>
  <si>
    <t>Bộ môn Hành chính học,</t>
  </si>
  <si>
    <t>Nguyễn Thị Minh</t>
  </si>
  <si>
    <t>Bùi Thị Mai</t>
  </si>
  <si>
    <t>Bộ môn Quản lý nhà nước về Kinh tế,</t>
  </si>
  <si>
    <t>Nguyễn Chi Mai</t>
  </si>
  <si>
    <t>Bộ môn Quản lý Tài chính công,</t>
  </si>
  <si>
    <t>Lê Văn Phúc</t>
  </si>
  <si>
    <t>1985</t>
  </si>
  <si>
    <t>Trần Đức Tuấn</t>
  </si>
  <si>
    <t>Nguyễn Ngọc Toán</t>
  </si>
  <si>
    <t>Nguyễn Thị Ngọc Linh</t>
  </si>
  <si>
    <t>Bộ môn Tổ chức và Quản lý nhân sự,</t>
  </si>
  <si>
    <t>Nguyễn Xuân Tiến</t>
  </si>
  <si>
    <t>Tạ Thị Thanh Tâm</t>
  </si>
  <si>
    <t>Phòng Công tác sinh viên,</t>
  </si>
  <si>
    <t>Phạm Hữu Phước</t>
  </si>
  <si>
    <t>Nhân viên đánh máy</t>
  </si>
  <si>
    <t>Lưu trữ viên</t>
  </si>
  <si>
    <t>Q. Trưởng phòng</t>
  </si>
  <si>
    <t>Huỳnh Trần Diễm Phương</t>
  </si>
  <si>
    <t>Phạm Ngọc Tú</t>
  </si>
  <si>
    <t>Đinh Mai Ngọc</t>
  </si>
  <si>
    <t>CVụ</t>
  </si>
  <si>
    <t>A1</t>
  </si>
  <si>
    <t>A3.1</t>
  </si>
  <si>
    <t>TEN</t>
  </si>
  <si>
    <t>T1</t>
  </si>
  <si>
    <t>M1</t>
  </si>
  <si>
    <t>T2</t>
  </si>
  <si>
    <t>M2</t>
  </si>
  <si>
    <t>GT</t>
  </si>
  <si>
    <t>Lê Thị Thu Thủy</t>
  </si>
  <si>
    <t>Bộ môn Quản lý ngân sách nhà nước,</t>
  </si>
  <si>
    <t>Trần Thúy Vân</t>
  </si>
  <si>
    <t>---</t>
  </si>
  <si>
    <t>Ban Đào tạo</t>
  </si>
  <si>
    <t>Ban Tổ chức - Cán bộ</t>
  </si>
  <si>
    <t>Bộ môn Ngoại ngữ</t>
  </si>
  <si>
    <t>Khoa Hành chính học</t>
  </si>
  <si>
    <t>Khoa Nhà nước và Pháp luật</t>
  </si>
  <si>
    <t>Khoa Quản lý nhà nước về Xã hội</t>
  </si>
  <si>
    <t>Khoa Quản lý nhà nước về Kinh tế</t>
  </si>
  <si>
    <t>Phòng Khảo thí và Kiểm định chất lượng giáo dục</t>
  </si>
  <si>
    <t>Trung tâm Tin học - Thư viện</t>
  </si>
  <si>
    <t>Viện Nghiên cứu Khoa học hành chính</t>
  </si>
  <si>
    <t>Khoa Quản lý Tài chính công</t>
  </si>
  <si>
    <t>Ban Hợp tác quốc tế</t>
  </si>
  <si>
    <t>Khoa Tổ chức và Quản lý nhân sự</t>
  </si>
  <si>
    <t>Khoa Văn bản và Công nghệ hành chính</t>
  </si>
  <si>
    <t>Trung tâm Ngoại ngữ</t>
  </si>
  <si>
    <t>D</t>
  </si>
  <si>
    <t>NGẠCH</t>
  </si>
  <si>
    <t>MÃ SỐ NGẠCH</t>
  </si>
  <si>
    <t>GHI 
CHÚ</t>
  </si>
  <si>
    <t>Trung tâm Tư liệu và Thông tin khoa học hành chính,</t>
  </si>
  <si>
    <t>Khoa Quản lý nhà nước về Đô thị và Nông thôn</t>
  </si>
  <si>
    <t>Khoa Lý luận cơ sở</t>
  </si>
  <si>
    <t>Phòng Đào tạo, bồi dưỡng theo chức danh,</t>
  </si>
  <si>
    <t>Bộ môn Lý luận nhà nước và pháp luật,</t>
  </si>
  <si>
    <t>Bộ môn Thanh tra,</t>
  </si>
  <si>
    <t>Bộ môn Thể chế nhà nước,</t>
  </si>
  <si>
    <t>Phạm Thị Thúy</t>
  </si>
  <si>
    <t>Ông</t>
  </si>
  <si>
    <t>Bà</t>
  </si>
  <si>
    <t>Lâm Thị Thuân</t>
  </si>
  <si>
    <t>Phòng Quản lý khoa học,</t>
  </si>
  <si>
    <t>Khoa Đào tạo, Bồi dưỡng công chức và Tại chức</t>
  </si>
  <si>
    <t>Phân viện khu vực Tây Nguyên</t>
  </si>
  <si>
    <t xml:space="preserve">           </t>
  </si>
  <si>
    <t>KT. TRƯỞNG BAN</t>
  </si>
  <si>
    <t>Lê Hoàng Anh</t>
  </si>
  <si>
    <t>Đặng Đình Thanh</t>
  </si>
  <si>
    <t>15.110</t>
  </si>
  <si>
    <t>15.111</t>
  </si>
  <si>
    <t>Giáo viên trung học cao cấp</t>
  </si>
  <si>
    <t>15.112</t>
  </si>
  <si>
    <t>V</t>
  </si>
  <si>
    <t>15.113</t>
  </si>
  <si>
    <t>15a.201</t>
  </si>
  <si>
    <t>15a.202</t>
  </si>
  <si>
    <t>N</t>
  </si>
  <si>
    <t>H</t>
  </si>
  <si>
    <t>U</t>
  </si>
  <si>
    <t>Y</t>
  </si>
  <si>
    <t>01.001</t>
  </si>
  <si>
    <t>01.002</t>
  </si>
  <si>
    <t>01.003</t>
  </si>
  <si>
    <t>01a.003</t>
  </si>
  <si>
    <t>01.004</t>
  </si>
  <si>
    <t>Thanh tra viên cao cấp</t>
  </si>
  <si>
    <t>04.023</t>
  </si>
  <si>
    <t>Thanh tra viên chính</t>
  </si>
  <si>
    <t>04.024</t>
  </si>
  <si>
    <t>04.025</t>
  </si>
  <si>
    <t>17.169</t>
  </si>
  <si>
    <t>17.170</t>
  </si>
  <si>
    <t>17a.170</t>
  </si>
  <si>
    <t>17.171</t>
  </si>
  <si>
    <t>16.116</t>
  </si>
  <si>
    <t>16.118</t>
  </si>
  <si>
    <t>16.119</t>
  </si>
  <si>
    <t>Biên tập viên cao cấp</t>
  </si>
  <si>
    <t>17.139</t>
  </si>
  <si>
    <t>17.140</t>
  </si>
  <si>
    <t>17.141</t>
  </si>
  <si>
    <t>Kế toán viên cao cấp</t>
  </si>
  <si>
    <t>06.029</t>
  </si>
  <si>
    <t>06.030</t>
  </si>
  <si>
    <t>06.031</t>
  </si>
  <si>
    <t>06a.031</t>
  </si>
  <si>
    <t>06.032</t>
  </si>
  <si>
    <t>01.010</t>
  </si>
  <si>
    <t>02.014</t>
  </si>
  <si>
    <t>Lưu trữ viên (cao đẳng)</t>
  </si>
  <si>
    <t>02a.014</t>
  </si>
  <si>
    <t>Lưu trữ viên trung cấp</t>
  </si>
  <si>
    <t>02.015</t>
  </si>
  <si>
    <t>01.011</t>
  </si>
  <si>
    <t>01.005</t>
  </si>
  <si>
    <t>01.007</t>
  </si>
  <si>
    <t>01.009</t>
  </si>
  <si>
    <t>19.185</t>
  </si>
  <si>
    <t>Thủ quỹ</t>
  </si>
  <si>
    <t>06.035</t>
  </si>
  <si>
    <t>. .</t>
  </si>
  <si>
    <t>Đến 30</t>
  </si>
  <si>
    <t>TD</t>
  </si>
  <si>
    <t>E</t>
  </si>
  <si>
    <t>O</t>
  </si>
  <si>
    <t>@</t>
  </si>
  <si>
    <t>Phòng Hành chính quản trị,</t>
  </si>
  <si>
    <t>Từ mức</t>
  </si>
  <si>
    <t>Lên mức</t>
  </si>
  <si>
    <t>Pc2</t>
  </si>
  <si>
    <t>- - -</t>
  </si>
  <si>
    <t>Phan Thị Thu Thủy</t>
  </si>
  <si>
    <t>31 - 45</t>
  </si>
  <si>
    <t>--</t>
  </si>
  <si>
    <t>Trên 45</t>
  </si>
  <si>
    <t>Thẩm tra viên</t>
  </si>
  <si>
    <t>03.230</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</si>
  <si>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</si>
  <si>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</si>
  <si>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</si>
  <si>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</si>
  <si>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</si>
  <si>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</si>
  <si>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</si>
  <si>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</si>
  <si>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</si>
  <si>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</si>
  <si>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</si>
  <si>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</si>
  <si>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</si>
  <si>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</si>
  <si>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 xml:space="preserve"> </t>
  </si>
  <si>
    <t>NN</t>
  </si>
  <si>
    <t>MÃ SỐ</t>
  </si>
  <si>
    <t>BƯỚC</t>
  </si>
  <si>
    <t>LOẠI</t>
  </si>
  <si>
    <t>NHÓM</t>
  </si>
  <si>
    <t>Đã nâng sớm</t>
  </si>
  <si>
    <t>Viện Trưởng</t>
  </si>
  <si>
    <t>0,8</t>
  </si>
  <si>
    <t>Giám đốc Học viện</t>
  </si>
  <si>
    <t>Phó Giám đốc Học viện</t>
  </si>
  <si>
    <t>Nguyên Trưởng khoa</t>
  </si>
  <si>
    <t>Phó Trưởng khoa</t>
  </si>
  <si>
    <t>Trưởng ban</t>
  </si>
  <si>
    <t>Trưởng khoa</t>
  </si>
  <si>
    <t>Nguyên Trưởng ban</t>
  </si>
  <si>
    <t>Phó Trưởng ban</t>
  </si>
  <si>
    <t>Trưởng phòng</t>
  </si>
  <si>
    <t>Phó Trưởng phòng</t>
  </si>
  <si>
    <t>CHỨC VỤ</t>
  </si>
  <si>
    <t>PC CV</t>
  </si>
  <si>
    <t>0,6</t>
  </si>
  <si>
    <t>0,4</t>
  </si>
  <si>
    <t>Trưởng bộ môn</t>
  </si>
  <si>
    <t>Phó Trưởng bộ môn</t>
  </si>
  <si>
    <t>Giám đốc phân viện</t>
  </si>
  <si>
    <t>Tổng Biên tập</t>
  </si>
  <si>
    <t>Phó Tổng biên tập</t>
  </si>
  <si>
    <t>Nguyên Viện Trưởng</t>
  </si>
  <si>
    <t>Nguyên Phó Giám đốc Học viện</t>
  </si>
  <si>
    <t>A3</t>
  </si>
  <si>
    <t>HS bậc 1</t>
  </si>
  <si>
    <t>Nguyễn Huy Hoàng</t>
  </si>
  <si>
    <t>Nguyễn Huy Hoàng 75</t>
  </si>
  <si>
    <t>Bộ môn Khoa học hành chính,</t>
  </si>
  <si>
    <t>CN</t>
  </si>
  <si>
    <t>Nguyễn Huy Tiềm</t>
  </si>
  <si>
    <t>=&gt; s</t>
  </si>
  <si>
    <t>Cùg Ng</t>
  </si>
  <si>
    <t>Nguyễn Thị Thu Hà 80</t>
  </si>
  <si>
    <t>16</t>
  </si>
  <si>
    <t>18</t>
  </si>
  <si>
    <t>22</t>
  </si>
  <si>
    <t>26</t>
  </si>
  <si>
    <t>24</t>
  </si>
  <si>
    <t>17</t>
  </si>
  <si>
    <t>20</t>
  </si>
  <si>
    <t>21</t>
  </si>
  <si>
    <t>23</t>
  </si>
  <si>
    <t>25</t>
  </si>
  <si>
    <t>28</t>
  </si>
  <si>
    <t>29</t>
  </si>
  <si>
    <t>Phòng Tư liệu - Xuất bản,</t>
  </si>
  <si>
    <t>Nguyễn Thế Tài</t>
  </si>
  <si>
    <t>30</t>
  </si>
  <si>
    <t>Nguyễn Việt Hùng</t>
  </si>
  <si>
    <t>31</t>
  </si>
  <si>
    <t>04</t>
  </si>
  <si>
    <t>Phạm Tuấn Anh</t>
  </si>
  <si>
    <t>Lê Thị Mai Quyên</t>
  </si>
  <si>
    <t>Lê Cẩm Hà</t>
  </si>
  <si>
    <t>Trần Mạnh Hùng</t>
  </si>
  <si>
    <t>Biên tập viên chính</t>
  </si>
  <si>
    <t>Mai Đình Lâm</t>
  </si>
  <si>
    <t>Phạm Thị Quỳnh Nga</t>
  </si>
  <si>
    <t>Vũ Tất Đạt</t>
  </si>
  <si>
    <t>Phan Ánh Hè</t>
  </si>
  <si>
    <t>SỐ
TT</t>
  </si>
  <si>
    <t>C</t>
  </si>
  <si>
    <t>Nhân viên</t>
  </si>
  <si>
    <t>A2</t>
  </si>
  <si>
    <t>A2.1</t>
  </si>
  <si>
    <t>S</t>
  </si>
  <si>
    <t>I</t>
  </si>
  <si>
    <t>B</t>
  </si>
  <si>
    <t>Chu Văn Minh</t>
  </si>
  <si>
    <t>Nguyễn Thị Phương Lan</t>
  </si>
  <si>
    <t>Vũ Thị Thanh Phương</t>
  </si>
  <si>
    <t>Hà Mai Anh</t>
  </si>
  <si>
    <t>(Đã ký)</t>
  </si>
  <si>
    <t>Nguyễn Nghĩa Hiệp</t>
  </si>
  <si>
    <t>1980</t>
  </si>
  <si>
    <t>1977</t>
  </si>
  <si>
    <t>1984</t>
  </si>
  <si>
    <t>1982</t>
  </si>
  <si>
    <t>Giáo viên trung học</t>
  </si>
  <si>
    <t>1959</t>
  </si>
  <si>
    <t>Tổng số:</t>
  </si>
  <si>
    <t>người</t>
  </si>
  <si>
    <t>Bộ môn Tổ chức nhân sự,</t>
  </si>
  <si>
    <t>Bộ môn Kỹ thuật hành chính,</t>
  </si>
  <si>
    <t xml:space="preserve">Bộ môn Văn bản hành chính, </t>
  </si>
  <si>
    <t>Phòng Đào tạo,</t>
  </si>
  <si>
    <t>1970</t>
  </si>
  <si>
    <t>1967</t>
  </si>
  <si>
    <t>1973</t>
  </si>
  <si>
    <t>Hoàng Thị Hoài Hương</t>
  </si>
  <si>
    <t>1965</t>
  </si>
  <si>
    <t>1969</t>
  </si>
  <si>
    <t xml:space="preserve">PGS </t>
  </si>
  <si>
    <t>08</t>
  </si>
  <si>
    <t>07</t>
  </si>
  <si>
    <t>Nguyễn Thanh Hương</t>
  </si>
  <si>
    <t>03</t>
  </si>
  <si>
    <t>1954</t>
  </si>
  <si>
    <t>Ko hạn</t>
  </si>
  <si>
    <t>%</t>
  </si>
  <si>
    <t>Hoàng Thị Hường</t>
  </si>
  <si>
    <t>1983</t>
  </si>
  <si>
    <t>Nguyễn Thị Thanh Hoa</t>
  </si>
  <si>
    <t>Bộ môn Văn bản và Công nghệ hành chính,</t>
  </si>
  <si>
    <t>Phòng Nhân sự và Quản lý hồ sơ,</t>
  </si>
  <si>
    <t>1971</t>
  </si>
  <si>
    <t>Chuyên viên</t>
  </si>
  <si>
    <t>Kế toán viên</t>
  </si>
  <si>
    <t>01</t>
  </si>
  <si>
    <t>02</t>
  </si>
  <si>
    <t>5</t>
  </si>
  <si>
    <t>6</t>
  </si>
  <si>
    <t>8</t>
  </si>
  <si>
    <t>3</t>
  </si>
  <si>
    <t>7</t>
  </si>
  <si>
    <t>9</t>
  </si>
  <si>
    <t>12</t>
  </si>
  <si>
    <t>15</t>
  </si>
  <si>
    <t>Chuyên viên chính</t>
  </si>
  <si>
    <t>Giảng viên chính</t>
  </si>
  <si>
    <t>Chuyên viên cao cấp</t>
  </si>
  <si>
    <t>Lái xe cơ quan</t>
  </si>
  <si>
    <t>Nhân viên phục vụ</t>
  </si>
  <si>
    <t>Nhân viên bảo vệ</t>
  </si>
  <si>
    <t>Nhân viên kỹ thuật</t>
  </si>
  <si>
    <t>Cán sự</t>
  </si>
  <si>
    <t>/</t>
  </si>
  <si>
    <t>A</t>
  </si>
  <si>
    <t>Trung tâm Tin học hành chính và Công nghệ thông tin</t>
  </si>
  <si>
    <t>2011</t>
  </si>
  <si>
    <t>2010</t>
  </si>
  <si>
    <t>Phòng Đào tạo tại chức,</t>
  </si>
  <si>
    <t>Văn phòng,</t>
  </si>
  <si>
    <t>Phòng Tài vụ - Kế toán,</t>
  </si>
  <si>
    <t>Phòng Đào tạo đại học,</t>
  </si>
  <si>
    <t>Phòng Quản trị,</t>
  </si>
  <si>
    <t>Thư viện viên</t>
  </si>
  <si>
    <t>10</t>
  </si>
  <si>
    <t>11</t>
  </si>
  <si>
    <t>13</t>
  </si>
  <si>
    <t>14</t>
  </si>
  <si>
    <t>1</t>
  </si>
  <si>
    <t>Đội Xe,</t>
  </si>
  <si>
    <t>4</t>
  </si>
  <si>
    <t>2012</t>
  </si>
  <si>
    <t>Nam</t>
  </si>
  <si>
    <t>2009</t>
  </si>
  <si>
    <t>Nữ</t>
  </si>
  <si>
    <t>Bộ môn Quản lý nhà nước về Xã hội,</t>
  </si>
  <si>
    <t>19</t>
  </si>
  <si>
    <t>Phan Thị Ngọc Anh</t>
  </si>
  <si>
    <t>Thư viện viên (cao đẳng)</t>
  </si>
  <si>
    <t>Bộ môn Khoa học - Tôn giáo - An ninh,</t>
  </si>
  <si>
    <t>Bộ môn Những nguyên lý cơ bản của Chủ nghĩa Mác - Lê nin,</t>
  </si>
  <si>
    <t>T</t>
  </si>
  <si>
    <t>TT</t>
  </si>
  <si>
    <t>Ngày sinh</t>
  </si>
  <si>
    <t>Giám đốc (cấp vụ)</t>
  </si>
  <si>
    <t>Phó Giám đốc (cấp vụ)</t>
  </si>
  <si>
    <t>Giám đốc (cấp phòng)</t>
  </si>
  <si>
    <t>Phó Giám đốc (cấp phòng)</t>
  </si>
  <si>
    <t>Phó Trưởng phòng (PT)</t>
  </si>
  <si>
    <t>Phó Trưởng ban (PT)</t>
  </si>
  <si>
    <t>Tháng</t>
  </si>
  <si>
    <t>GHI CHÚ</t>
  </si>
  <si>
    <t>Nguyễn Ngọc Đào</t>
  </si>
  <si>
    <t>05</t>
  </si>
  <si>
    <t>1981</t>
  </si>
  <si>
    <t>Nam trên 55</t>
  </si>
  <si>
    <t>Nam từ 35 - 45</t>
  </si>
  <si>
    <t>Nữ từ 30 - 40</t>
  </si>
  <si>
    <t>Nam dưới 35</t>
  </si>
  <si>
    <t>Nam trên 45 - 55</t>
  </si>
  <si>
    <t>Nữ trên 40 - 50</t>
  </si>
  <si>
    <t>Nữ dưới 30</t>
  </si>
  <si>
    <t>Nữ trên 50</t>
  </si>
  <si>
    <t>Trùng tên</t>
  </si>
  <si>
    <t>Lương</t>
  </si>
  <si>
    <t>PCTN</t>
  </si>
  <si>
    <t>o-o-o</t>
  </si>
  <si>
    <t>ok</t>
  </si>
  <si>
    <t>HỌC VIỆN HÀNH CHÍNH QUỐC GIA</t>
  </si>
  <si>
    <t xml:space="preserve"> HỌC VIỆN HÀNH CHÍNH QUỐC GIA</t>
  </si>
  <si>
    <t>Cơ sở Học viện Hành chính Quốc gia tại Thành phố Hồ Chí Minh</t>
  </si>
  <si>
    <t>Cơ sở Học viện Hành chính Quốc gia khu vực miền Trung</t>
  </si>
  <si>
    <t>Nâng 10/2014</t>
  </si>
  <si>
    <t>Văn phòng Học viện</t>
  </si>
  <si>
    <t>Nhân viên văn thư</t>
  </si>
  <si>
    <t>Kỹ Thuật viên đánh máy</t>
  </si>
  <si>
    <t>01.008</t>
  </si>
  <si>
    <t>01.006</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</si>
  <si>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</si>
  <si>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</si>
  <si>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</si>
  <si>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</si>
  <si>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</si>
  <si>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</si>
  <si>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</si>
  <si>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</si>
  <si>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</si>
  <si>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</si>
  <si>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</si>
  <si>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Xếp lại PC 12/2014</t>
  </si>
  <si>
    <t>Nghiên cứu viên cao cấp (hạng I)</t>
  </si>
  <si>
    <t>V.05.01.01</t>
  </si>
  <si>
    <t>Nghiên cứu viên chính (hạng II)</t>
  </si>
  <si>
    <t>V.05.01.02</t>
  </si>
  <si>
    <t>Nghiên cứu viên (hạng III)</t>
  </si>
  <si>
    <t>V.05.01.03</t>
  </si>
  <si>
    <t>Kỹ sư cao cấp (hạng I)</t>
  </si>
  <si>
    <t>V.05.02.05</t>
  </si>
  <si>
    <t>Kỹ sư chính (hạng II)</t>
  </si>
  <si>
    <t>V.05.02.06</t>
  </si>
  <si>
    <t>Kỹ sư (hạng III)</t>
  </si>
  <si>
    <t>V.05.02.07</t>
  </si>
  <si>
    <t>Kỹ thuật viên (hạng IV)</t>
  </si>
  <si>
    <t>V.05.02.08</t>
  </si>
  <si>
    <t xml:space="preserve"> CC, VC và NLĐ</t>
  </si>
  <si>
    <t>viên chức</t>
  </si>
  <si>
    <t>Nguyên Phó Trưởng khoa</t>
  </si>
  <si>
    <t>CC-VC-NLĐ</t>
  </si>
  <si>
    <t>CHÈN ĐIỀU CUỐI QĐ</t>
  </si>
  <si>
    <t>VC</t>
  </si>
  <si>
    <t>Q. Trưởng khoa</t>
  </si>
  <si>
    <t>ko lương từ 15/8 đến 15/10/2015; và 18/4-17/6/2016. khi xét lương sớm chưa trừ đi thời gian nghỉ ko lương.</t>
  </si>
  <si>
    <t>Phó Chánh Văn phòng</t>
  </si>
  <si>
    <t>Hệ số</t>
  </si>
  <si>
    <t>Bộ môn Quản lý nhà nước về Đô thị</t>
  </si>
  <si>
    <t>Kiểm tra viên</t>
  </si>
  <si>
    <t>04,025A</t>
  </si>
  <si>
    <t>Đặng Quốc Việt</t>
  </si>
  <si>
    <t>tập sự hưởng 100% lương</t>
  </si>
  <si>
    <t>Nguyên Trưởng bộ môn</t>
  </si>
  <si>
    <t>Vũ Xuân Thanh</t>
  </si>
  <si>
    <t>Bộ môn Quản lý nguồn nhân lực tổ chức</t>
  </si>
  <si>
    <t>Bộ môn Khoa học chính trị,</t>
  </si>
  <si>
    <t xml:space="preserve">Giảng viên </t>
  </si>
  <si>
    <t>Phòng Tư vấn và Thông tin hành chính</t>
  </si>
  <si>
    <t>Hà Thành Đê</t>
  </si>
  <si>
    <t>Hà Thị Thanh Chung</t>
  </si>
  <si>
    <t>Nguyên Q. Trưởng khoa</t>
  </si>
  <si>
    <t>Chánh Văn phòng</t>
  </si>
  <si>
    <t>Nguyên Phó Trưởng ban</t>
  </si>
  <si>
    <t>Phó Viện trưởng</t>
  </si>
  <si>
    <t>Nguyên Phó Viện trưởng</t>
  </si>
  <si>
    <t>Chánh Văn phòng (cấp phòng)</t>
  </si>
  <si>
    <t>Trưởng khoa (cấp phòng)</t>
  </si>
  <si>
    <t>Trưởng ban (cấp phòng)</t>
  </si>
  <si>
    <t>Chủ nhiệm (cấp phòng)</t>
  </si>
  <si>
    <t>Đội Trưởng (cấp phòng)</t>
  </si>
  <si>
    <t>Nguyên Phó Trưởng bộ môn</t>
  </si>
  <si>
    <t>Phó Trưởng ban (cấp phòng)</t>
  </si>
  <si>
    <t>Phó Chủ nhiệm (cấp phòng)</t>
  </si>
  <si>
    <t>Phó Chánh Văn phòng (cấp phòng)</t>
  </si>
  <si>
    <t>Đội Phó (cấp phòng)</t>
  </si>
  <si>
    <t>Trung tâm Định cư và Môi trường</t>
  </si>
  <si>
    <t>Bậc</t>
  </si>
  <si>
    <t>Mức</t>
  </si>
  <si>
    <t>PHÓ TRƯỞNG BAN</t>
  </si>
  <si>
    <t>Y sĩ</t>
  </si>
  <si>
    <t>Bác sĩ</t>
  </si>
  <si>
    <t>Bác sĩ chính</t>
  </si>
  <si>
    <t>Bác sĩ cao cấp</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</si>
  <si>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</si>
  <si>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</si>
  <si>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</si>
  <si>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</si>
  <si>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</si>
  <si>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</si>
  <si>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</si>
  <si>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</si>
  <si>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</si>
  <si>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</si>
  <si>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</si>
  <si>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</si>
  <si>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</si>
  <si>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</si>
  <si>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</si>
  <si>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</si>
  <si>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</si>
  <si>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</si>
  <si>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t>Bác sĩ cao cấp (hạng I)</t>
  </si>
  <si>
    <t>V.08.01.01</t>
  </si>
  <si>
    <t>Bác sĩ chính (hạng II)</t>
  </si>
  <si>
    <t>V.08.01.02</t>
  </si>
  <si>
    <t>V.08.01.03</t>
  </si>
  <si>
    <t>V.08.01.04</t>
  </si>
  <si>
    <t>Bác sĩ (hạng III)</t>
  </si>
  <si>
    <t>Y sĩ (hạng IV)</t>
  </si>
  <si>
    <t>Biên tập viên hạng I</t>
  </si>
  <si>
    <t>Biên tập viên hạng II</t>
  </si>
  <si>
    <t>Biên tập viên hạng III</t>
  </si>
  <si>
    <t>V1.11.01.01</t>
  </si>
  <si>
    <t>V1.11.01.02</t>
  </si>
  <si>
    <t>V1.11.01.03</t>
  </si>
  <si>
    <t>Phóng viên hạng I</t>
  </si>
  <si>
    <t>Phóng viên hạng II</t>
  </si>
  <si>
    <t>Phóng viên hạng III</t>
  </si>
  <si>
    <t>V1.11.01.04</t>
  </si>
  <si>
    <t>V1.11.01.05</t>
  </si>
  <si>
    <t>V1.11.01.06</t>
  </si>
  <si>
    <t>Thư viện viên hạng II</t>
  </si>
  <si>
    <t>Thư viện viên hạng III</t>
  </si>
  <si>
    <t>V.10.02.05</t>
  </si>
  <si>
    <t>V.10.02.06</t>
  </si>
  <si>
    <t>Thư viện viên hạng IV</t>
  </si>
  <si>
    <t>V.10.02.07</t>
  </si>
  <si>
    <t>vào đâu????</t>
  </si>
  <si>
    <t>CC/ VC/ NLĐ</t>
  </si>
  <si>
    <t>ĐỀ NGHỊ XÉT NÂNG BẬC LƯƠNG THƯỜNG XUYÊN</t>
  </si>
  <si>
    <t>ĐỀ NGHỊ XÉT HƯỞNG PHỤ CẤP THÂM NIÊN VƯỢT KHUNG</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</si>
  <si>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</si>
  <si>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</si>
  <si>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</si>
  <si>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</si>
  <si>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</si>
  <si>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</si>
  <si>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</si>
  <si>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</si>
  <si>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</si>
  <si>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</si>
  <si>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</si>
  <si>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</si>
  <si>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</si>
  <si>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</si>
  <si>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</si>
  <si>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</si>
  <si>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</si>
  <si>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</si>
  <si>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</si>
  <si>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Ban Quản lý bồi dưỡng</t>
  </si>
  <si>
    <t>Khoa Khoa học hành chính và Tổ chức nhân sự</t>
  </si>
  <si>
    <t>Khoa Quản lý nhà nước về Kinh tế và Tài chính công</t>
  </si>
  <si>
    <t>Phân viện Học viện Hành chính Quốc gia tại Thành phố Hồ Chí Minh</t>
  </si>
  <si>
    <t>Trung tâm Ngoại ngữ - Tin học và Thông tin - Thư viện</t>
  </si>
  <si>
    <t>Phân viện Học viện Hành chính Quốc gia tại thành phố Huế</t>
  </si>
  <si>
    <t>Phân viện Học viện Hành chính Quốc gia khu vực Tây Nguyên</t>
  </si>
  <si>
    <t>Ban Tổ chức cán bộ</t>
  </si>
  <si>
    <t>Bộ môn Khoa học hành chính và Tổ chức nhân sự</t>
  </si>
  <si>
    <t>Phòng Ngoại ngữ - Tin học và Thông tin - Thư viện</t>
  </si>
  <si>
    <t>Phòng Bộ máy, Biên chế và Quản lý nhân sự</t>
  </si>
  <si>
    <t>BAN TỔ CHỨC CÁN BỘ</t>
  </si>
  <si>
    <t>Phó Giám đốc Phân viện</t>
  </si>
  <si>
    <t>ĐỦ ĐIỀU KIỆN, TIÊU CHUẨN XÉT NÂNG BẬC LƯƠNG THƯỜNG XUYÊN</t>
  </si>
  <si>
    <t>Phòng Quản lý đào tạo bồi dưỡng</t>
  </si>
  <si>
    <t>Lê Thị Thu Phượng</t>
  </si>
  <si>
    <t>Bộ môn Quản lý nhà nước về Khoa học-Tôn giáo-Anh ninh</t>
  </si>
  <si>
    <t>Phó trưởng phòng</t>
  </si>
  <si>
    <t>Bộ môn Quản lý nhà nước về Kinh tế và Tài chính công</t>
  </si>
  <si>
    <t>Phòng  Đào tạo bồi dưỡng và Tư vấn hành chính</t>
  </si>
  <si>
    <t>Phó Trưởng Ban</t>
  </si>
  <si>
    <t>NLĐ</t>
  </si>
  <si>
    <t>Chánh Văn phòng Học viện, Trưởng Ban Tổ chức - Cán bộ</t>
  </si>
  <si>
    <t>Chánh Văn phòng Học viện, Trưởng Ban Tổ chức - Cán bộ, Trưởng Ban Hợp tác quốc tế</t>
  </si>
  <si>
    <t>K.Dài</t>
  </si>
  <si>
    <t>Chánh Văn phòng Học viện, Trưởng Ban Tổ chức - Cán bộ, Trưởng Khoa Khoa học hành chính và Tổ chức nhân sự</t>
  </si>
  <si>
    <t>Chánh Văn phòng Học viện, Trưởng Ban Tổ chức - Cán bộ, Viện Trưởng Viện Nghiên cứu Khoa học hành chính</t>
  </si>
  <si>
    <t>Chánh Văn phòng Học viện, Trưởng Ban Tổ chức - Cán bộ, Trưởng Phân viện Học viện Hành chính Quốc gia tại Thành phố Hồ Chí Minh</t>
  </si>
  <si>
    <t>Bộ môn Quản lý nhà nước về xã hội</t>
  </si>
  <si>
    <t>Bộ môn Quản lý nhà nước về ngành, lĩnh vực,</t>
  </si>
  <si>
    <t>Phòng Đào tạo trực tuyến,</t>
  </si>
  <si>
    <t>Bộ môn Pháp luật, Hành chính và Tổ chức,</t>
  </si>
  <si>
    <t>Chánh Văn phòng Học viện, Trưởng Ban Tổ chức - Cán bộ, Trưởng Khoa Quản lý nhà nước về Kinh tế và Tài chính công</t>
  </si>
  <si>
    <t>(TX 1/4/16, nâng trước hạn 6 T năm 18)</t>
  </si>
  <si>
    <t>TX 1/6/16, nâng trước 9 T năm 18</t>
  </si>
  <si>
    <t>TX 1/7/17, nâng trước 6 T năm 18</t>
  </si>
  <si>
    <t>Chánh Văn phòng Học viện, Trưởng Ban Tổ chức - Cán bộ, Trưởng Khoa Nhà nước - Pháp luật và Lý luận cơ sở</t>
  </si>
  <si>
    <t>Nghỉ ko lương</t>
  </si>
  <si>
    <t>Nghi ko luong từ 5/6 - 16/6/19</t>
  </si>
  <si>
    <t>Bộ môn Hành chính điện tử,</t>
  </si>
  <si>
    <t>Bộ môn hành chính điện tử,</t>
  </si>
  <si>
    <t>Phó Trưởng Bộ môn</t>
  </si>
  <si>
    <t>Phòng Quản lý đào tạo và Phát triển nhân lực hành chính,</t>
  </si>
  <si>
    <t>Phòng Khảo thí và Đảm bảo chất lượng đào tạo, bồi dưỡng,</t>
  </si>
  <si>
    <t>hưởng %TNNG, 25% (Ngày QĐ tháng 5/19)</t>
  </si>
  <si>
    <t>Nghỉ ko lương 3 tháng 2/5-2/8/19</t>
  </si>
  <si>
    <t>TX 1/3/16, nâng trước hạn 12 T năm 18, nghỉ ko lương 27-30/6/19 (29, 30 thứ 7, cn)</t>
  </si>
  <si>
    <t>ko lương 11-24/2/19 (hỏi lại C Hạnh)</t>
  </si>
  <si>
    <t>tiếp nhận từ  8/2018; nghỉ ko hưởng lương từ 6/9-16/9/19: 7 ngày</t>
  </si>
  <si>
    <t>Nghỉ ko lươmg: từ 26/9-1/10/19</t>
  </si>
  <si>
    <t>Chánh Văn phòng Học viện, Trưởng Ban Tổ chức - Cán bộ, Trưởng Khoa Văn bản và Công nghệ hành chính</t>
  </si>
  <si>
    <t>Bộ môn kiến thức đại cương (GDTC)</t>
  </si>
  <si>
    <t>Chức danh nghề nghiệp</t>
  </si>
  <si>
    <t xml:space="preserve"> - Danh sách này được niêm yết công khai trên bảng tin nhà A tại trụ sở Học viện ở Hà Nội, tại các phân viện trực thuộc Học viện và đăng tải trên Website Học viện Hành chính Quốc gia;</t>
  </si>
  <si>
    <t>k lương từ 01/11/2018-31/01/2019 và 13/1-29-1/2020</t>
  </si>
  <si>
    <t>Điều chỉnh lại thời gian tính nâng bậc lương sai 01/04/2018 sang đúng là 01/01/2017</t>
  </si>
  <si>
    <t>Nâng lg trước hạn 09 tháng</t>
  </si>
  <si>
    <t>Nâng lg trước hạn 06 tháng</t>
  </si>
  <si>
    <t>Nâng lg trước hạn 12 tháng</t>
  </si>
  <si>
    <r>
      <t xml:space="preserve">DANH SÁCH NHÀ GIÁO THUỘC HỌC VIỆN HÀNH CHÍNH 
CẦN ĐƯỢC GIẢI QUYẾT NÂNG PHỤ CẤP THÂM NIÊN TRONG THẤNG </t>
    </r>
    <r>
      <rPr>
        <b/>
        <sz val="10"/>
        <color indexed="12"/>
        <rFont val="Times New Roman"/>
        <family val="1"/>
      </rPr>
      <t xml:space="preserve">10 NĂM 2013
</t>
    </r>
    <r>
      <rPr>
        <i/>
        <sz val="10"/>
        <color indexed="12"/>
        <rFont val="Times New Roman"/>
        <family val="1"/>
      </rPr>
      <t>(Kèm theo Tờ  trình số 40/TTr-TCCB(P2) ngày  21 tháng 10 năm 2013 của Ban Tổ chức - Cán bộ)</t>
    </r>
  </si>
  <si>
    <r>
      <t xml:space="preserve"> </t>
    </r>
    <r>
      <rPr>
        <b/>
        <sz val="10"/>
        <rFont val="Times New Roman"/>
        <family val="1"/>
      </rPr>
      <t xml:space="preserve">* </t>
    </r>
    <r>
      <rPr>
        <b/>
        <u/>
        <sz val="10"/>
        <rFont val="Times New Roman"/>
        <family val="1"/>
      </rPr>
      <t>Lưu ý:</t>
    </r>
    <r>
      <rPr>
        <b/>
        <sz val="10"/>
        <rFont val="Times New Roman"/>
        <family val="1"/>
      </rPr>
      <t xml:space="preserve">  
 </t>
    </r>
    <r>
      <rPr>
        <sz val="10"/>
        <rFont val="Times New Roman"/>
        <family val="1"/>
      </rPr>
      <t>- Danh sách này được niêm yết công khai trên bảng tin nhà A tại trụ sở Học viện ở Hà Nội,  tại các phân viện trực thuộc Học viện và đăng tải trên Website Học viện Hành chính Quốc gia;</t>
    </r>
  </si>
  <si>
    <r>
      <rPr>
        <b/>
        <sz val="9"/>
        <rFont val="Times New Roman"/>
        <family val="1"/>
      </rPr>
      <t xml:space="preserve">* </t>
    </r>
    <r>
      <rPr>
        <b/>
        <u/>
        <sz val="9"/>
        <rFont val="Times New Roman"/>
        <family val="1"/>
      </rPr>
      <t>Lưu ý</t>
    </r>
    <r>
      <rPr>
        <sz val="9"/>
        <rFont val="Times New Roman"/>
        <family val="1"/>
      </rPr>
      <t xml:space="preserve">: </t>
    </r>
  </si>
  <si>
    <t>Năm 2018 đã đánh giá hoàn thành nhiệm vụ (772, ngày 27/4)</t>
  </si>
  <si>
    <t>Hưu</t>
  </si>
  <si>
    <t>TX 1/12/16, nâng trước 9 T năm 18. QĐ bổ nhiệm chức danh số 108 ngày 27/02/2020 từ 1/2/20</t>
  </si>
  <si>
    <t>Bộ môn Quản lý và Phát triển nguồn nhân lực tổ chức</t>
  </si>
  <si>
    <t>Nghỉ ko lg từ 24/1-31/1/2020: 2 ngày - nghỉ tết cuoi tuan</t>
  </si>
  <si>
    <t>Chánh Văn phòng Học viện, Trưởng Ban Tổ chức - Cán bộ, Trưởng Khoa Quản lý nhà nước về Xã hội</t>
  </si>
  <si>
    <t>II</t>
  </si>
  <si>
    <t>ĐỦ ĐIỀU KIỆN, TIÊU CHUẨN XÉT HƯỞNG, NÂNG PHỤ CẤP THÂM NIÊN VƯỢT KHUNG</t>
  </si>
  <si>
    <t>bổ nhiệm CDNN số 153 ngày 09/3/2020</t>
  </si>
  <si>
    <t>Hưởng 25% từ 1/5/20</t>
  </si>
  <si>
    <t>đi học nước ngoài (01/9/2014 - 01/9/2018);(nghỉ chỗ C Hạnh 1-15/12/18); nghỉ ko lương từ 16/12/18 - 14/01/19; tiếp nhận từ ngày 15/01/2019 (tổng nghỉ 1 tháng 10 ngày tính tròn 1 tháng)</t>
  </si>
  <si>
    <t>Đi học nước ngoài, tiếp tục hưởng 25% từ 1/3/19</t>
  </si>
  <si>
    <t>Ngô Quang Tuệ</t>
  </si>
  <si>
    <t>Tiếp nhận 1/8/20</t>
  </si>
  <si>
    <t>Phòng Quản lý thông tin và Tư liệu,</t>
  </si>
  <si>
    <t>Phòng Nghiên cứu khoa học và Hợp tác quốc tế,</t>
  </si>
  <si>
    <t>hưởng phụ cấp độc hại 0,2 và bồi dưỡng bằng hiện vật từ 1/9/20</t>
  </si>
  <si>
    <t>(nang lương sớm 2017)</t>
  </si>
  <si>
    <t>tdung 1/10/20 (Nâng lg trước hạn 06 tháng</t>
  </si>
  <si>
    <t>T2/20 nghỉ ốm (xét huong PCTN T10/20)</t>
  </si>
  <si>
    <t>Chánh Văn phòng Học viện, Trưởng Ban Tổ chức - Cán bộ, Trưởng Trung tâm Ngoại ngữ - Tin học và Thông tin - Thư viện</t>
  </si>
  <si>
    <t>trường hợp</t>
  </si>
  <si>
    <t>hưởng PCTNNG từ 1/10/20</t>
  </si>
  <si>
    <t>BIỂU 1 - TB</t>
  </si>
  <si>
    <t>Chuyển từ giáo viên trung học sang GV hạng III từ 01/01/20</t>
  </si>
  <si>
    <r>
      <t>- Các ý kiến thắc mắc liên quan (nếu có) đề nghị phản hồi tới Ban Tổ chức cán bộ hạn cuối vào ngày 20/01</t>
    </r>
    <r>
      <rPr>
        <sz val="10"/>
        <color indexed="12"/>
        <rFont val="Times New Roman"/>
        <family val="1"/>
      </rPr>
      <t>/2021 (người tiếp nhận: Vũ Thị Hiền, ĐT:  0238 359 295/ 0384 328 728).</t>
    </r>
  </si>
  <si>
    <r>
      <t>DANH SÁCH CÔNG CHỨC, VIÊN CHỨC VÀ NGƯỜI LAO ĐỘNG THUỘC HỌC VIỆN HÀNH CHÍNH QUỐC GIA
ĐỦ ĐIỀU KIỆN, TIÊU CHUẨN XÉT NÂNG BẬC LƯƠNG THƯỜNG XUYÊN TRONG THÁNG 01</t>
    </r>
    <r>
      <rPr>
        <b/>
        <sz val="10"/>
        <color rgb="FF0000FF"/>
        <rFont val="Times New Roman"/>
        <family val="1"/>
      </rPr>
      <t xml:space="preserve"> NĂM 2021</t>
    </r>
  </si>
  <si>
    <t>31 trường hợp</t>
  </si>
  <si>
    <r>
      <t>DANH SÁCH NHÀ GIÁO THUỘC HỌC VIỆN HÀNH CHÍNH QUỐC GIA 
ĐỦ ĐIỀU KIỆN XÉT NÂNG PHỤ CẤP THÂM NIÊN TRONG THÁNG 01</t>
    </r>
    <r>
      <rPr>
        <b/>
        <sz val="10"/>
        <color rgb="FF0000FF"/>
        <rFont val="Times New Roman"/>
        <family val="1"/>
      </rPr>
      <t xml:space="preserve"> NĂM 2021</t>
    </r>
  </si>
  <si>
    <r>
      <t>- Các ý kiến thắc mắc liên quan (nếu có), đề nghị phản hồi tới Ban Tổ chức cán bộ hạn cuối vào ngày</t>
    </r>
    <r>
      <rPr>
        <sz val="9"/>
        <color rgb="FF0000FF"/>
        <rFont val="Times New Roman"/>
        <family val="1"/>
      </rPr>
      <t xml:space="preserve"> 20/01/2021 (người tiếp nhận: Vũ Thị Hiền, ĐT:  0238 359 295/ 0384 328 728).</t>
    </r>
  </si>
  <si>
    <t xml:space="preserve">Hà Nội, ngày   06   tháng 01 năm 2021 </t>
  </si>
  <si>
    <t>Hà Nội, ngày  06  tháng  01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</si>
</sst>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9" x14ac:knownFonts="1">
    <font>
      <sz val="10"/>
      <name val="Arial"/>
    </font>
    <font>
      <sz val="8"/>
      <name val="Arial"/>
      <family val="2"/>
    </font>
    <font>
      <b/>
      <sz val="10"/>
      <name val="Arial"/>
      <family val="2"/>
    </font>
    <font>
      <sz val="10"/>
      <name val="Arial"/>
      <family val="2"/>
    </font>
    <font>
      <sz val="9"/>
      <name val="Arial"/>
      <family val="2"/>
    </font>
    <font>
      <sz val="12"/>
      <name val="Arial"/>
      <family val="2"/>
    </font>
    <font>
      <b/>
      <sz val="12"/>
      <color indexed="9"/>
      <name val="Arial"/>
      <family val="2"/>
    </font>
    <font>
      <b/>
      <sz val="10"/>
      <color indexed="9"/>
      <name val="Arial"/>
      <family val="2"/>
    </font>
    <font>
      <b/>
      <sz val="10"/>
      <name val="Arial Narrow"/>
      <family val="2"/>
    </font>
    <font>
      <b/>
      <sz val="9"/>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sz val="10"/>
      <name val="Arial Narrow"/>
      <family val="2"/>
    </font>
    <font>
      <sz val="8"/>
      <color indexed="58"/>
      <name val="Arial Narrow"/>
      <family val="2"/>
    </font>
    <font>
      <sz val="9"/>
      <color indexed="58"/>
      <name val="Arial Narrow"/>
      <family val="2"/>
    </font>
    <font>
      <sz val="9"/>
      <color indexed="16"/>
      <name val="Arial Narrow"/>
      <family val="2"/>
    </font>
    <font>
      <sz val="9"/>
      <color indexed="12"/>
      <name val="Arial Narrow"/>
      <family val="2"/>
    </font>
    <font>
      <b/>
      <sz val="10"/>
      <color indexed="12"/>
      <name val="Arial Narrow"/>
      <family val="2"/>
    </font>
    <font>
      <b/>
      <sz val="9"/>
      <color indexed="9"/>
      <name val="Arial Narrow"/>
      <family val="2"/>
    </font>
    <font>
      <sz val="9"/>
      <color indexed="9"/>
      <name val="Arial Narrow"/>
      <family val="2"/>
    </font>
    <font>
      <sz val="9"/>
      <color indexed="8"/>
      <name val="Arial Narrow"/>
      <family val="2"/>
    </font>
    <font>
      <sz val="9"/>
      <color rgb="FFFF0000"/>
      <name val="Arial Narrow"/>
      <family val="2"/>
    </font>
    <font>
      <b/>
      <sz val="9"/>
      <color rgb="FF0000FF"/>
      <name val="Arial Narrow"/>
      <family val="2"/>
    </font>
    <font>
      <sz val="9"/>
      <color rgb="FF0000FF"/>
      <name val="Arial Narrow"/>
      <family val="2"/>
    </font>
    <font>
      <sz val="9"/>
      <color theme="0"/>
      <name val="Arial"/>
      <family val="2"/>
    </font>
    <font>
      <b/>
      <sz val="9"/>
      <color theme="0"/>
      <name val="Arial"/>
      <family val="2"/>
    </font>
    <font>
      <b/>
      <sz val="8"/>
      <color theme="0"/>
      <name val="Arial"/>
      <family val="2"/>
    </font>
    <font>
      <sz val="10"/>
      <color rgb="FF800000"/>
      <name val="Arial Narrow"/>
      <family val="2"/>
    </font>
    <font>
      <sz val="9"/>
      <color rgb="FF800000"/>
      <name val="Arial Narrow"/>
      <family val="2"/>
    </font>
    <font>
      <sz val="9"/>
      <color rgb="FF0000FF"/>
      <name val="Arial"/>
      <family val="2"/>
    </font>
    <font>
      <sz val="8"/>
      <color rgb="FF0000FF"/>
      <name val="Arial"/>
      <family val="2"/>
    </font>
    <font>
      <sz val="12"/>
      <color rgb="FF0000FF"/>
      <name val="Arial"/>
      <family val="2"/>
    </font>
    <font>
      <b/>
      <sz val="10"/>
      <color rgb="FF0000FF"/>
      <name val="Arial"/>
      <family val="2"/>
    </font>
    <font>
      <sz val="10"/>
      <color rgb="FF0000FF"/>
      <name val="Arial Narrow"/>
      <family val="2"/>
    </font>
    <font>
      <sz val="10"/>
      <color rgb="FFFF0000"/>
      <name val="Arial Narrow"/>
      <family val="2"/>
    </font>
    <font>
      <sz val="9"/>
      <color rgb="FF990000"/>
      <name val="Arial Narrow"/>
      <family val="2"/>
    </font>
    <font>
      <sz val="10"/>
      <name val="Times New Roman"/>
      <family val="1"/>
    </font>
    <font>
      <b/>
      <sz val="10"/>
      <name val="Times New Roman"/>
      <family val="1"/>
    </font>
    <font>
      <i/>
      <sz val="10"/>
      <name val="Times New Roman"/>
      <family val="1"/>
    </font>
    <font>
      <sz val="10"/>
      <color rgb="FF0000FF"/>
      <name val="Times New Roman"/>
      <family val="1"/>
    </font>
    <font>
      <b/>
      <sz val="10"/>
      <color rgb="FF0000FF"/>
      <name val="Times New Roman"/>
      <family val="1"/>
    </font>
    <font>
      <sz val="8"/>
      <name val="Times New Roman"/>
      <family val="1"/>
    </font>
    <font>
      <b/>
      <sz val="8"/>
      <name val="Times New Roman"/>
      <family val="1"/>
    </font>
    <font>
      <sz val="10"/>
      <color indexed="8"/>
      <name val="Times New Roman"/>
      <family val="1"/>
    </font>
    <font>
      <sz val="10"/>
      <color theme="0"/>
      <name val="Times New Roman"/>
      <family val="1"/>
    </font>
    <font>
      <sz val="10"/>
      <color rgb="FF800000"/>
      <name val="Times New Roman"/>
      <family val="1"/>
    </font>
    <font>
      <sz val="10"/>
      <color indexed="58"/>
      <name val="Times New Roman"/>
      <family val="1"/>
    </font>
    <font>
      <b/>
      <sz val="10"/>
      <color indexed="12"/>
      <name val="Times New Roman"/>
      <family val="1"/>
    </font>
    <font>
      <sz val="10"/>
      <color indexed="9"/>
      <name val="Times New Roman"/>
      <family val="1"/>
    </font>
    <font>
      <sz val="10"/>
      <color rgb="FFFF0000"/>
      <name val="Times New Roman"/>
      <family val="1"/>
    </font>
    <font>
      <i/>
      <sz val="10"/>
      <color rgb="FF0000FF"/>
      <name val="Times New Roman"/>
      <family val="1"/>
    </font>
    <font>
      <i/>
      <sz val="10"/>
      <color indexed="12"/>
      <name val="Times New Roman"/>
      <family val="1"/>
    </font>
    <font>
      <b/>
      <u/>
      <sz val="10"/>
      <name val="Times New Roman"/>
      <family val="1"/>
    </font>
    <font>
      <sz val="10"/>
      <color indexed="12"/>
      <name val="Times New Roman"/>
      <family val="1"/>
    </font>
    <font>
      <b/>
      <sz val="10"/>
      <color theme="0"/>
      <name val="Times New Roman"/>
      <family val="1"/>
    </font>
    <font>
      <i/>
      <sz val="10"/>
      <color theme="0"/>
      <name val="Times New Roman"/>
      <family val="1"/>
    </font>
    <font>
      <b/>
      <i/>
      <sz val="10"/>
      <color indexed="9"/>
      <name val="Times New Roman"/>
      <family val="1"/>
    </font>
    <font>
      <sz val="10"/>
      <color indexed="10"/>
      <name val="Times New Roman"/>
      <family val="1"/>
    </font>
    <font>
      <sz val="10"/>
      <color indexed="13"/>
      <name val="Times New Roman"/>
      <family val="1"/>
    </font>
    <font>
      <sz val="10"/>
      <color indexed="8"/>
      <name val="Arial Narrow"/>
      <family val="2"/>
    </font>
    <font>
      <sz val="10"/>
      <color indexed="58"/>
      <name val="Arial Narrow"/>
      <family val="2"/>
    </font>
    <font>
      <sz val="10"/>
      <color indexed="9"/>
      <name val="Arial Narrow"/>
      <family val="2"/>
    </font>
    <font>
      <b/>
      <sz val="10"/>
      <color rgb="FFFF0000"/>
      <name val="Arial Narrow"/>
      <family val="2"/>
    </font>
    <font>
      <sz val="10"/>
      <color indexed="16"/>
      <name val="Arial Narrow"/>
      <family val="2"/>
    </font>
    <font>
      <sz val="10"/>
      <color indexed="16"/>
      <name val="Times New Roman"/>
      <family val="1"/>
    </font>
    <font>
      <sz val="8"/>
      <color rgb="FF0000FF"/>
      <name val="Times New Roman"/>
      <family val="1"/>
    </font>
    <font>
      <i/>
      <sz val="8"/>
      <name val="Times New Roman"/>
      <family val="1"/>
    </font>
    <font>
      <sz val="10"/>
      <color indexed="12"/>
      <name val="Arial Narrow"/>
      <family val="2"/>
    </font>
    <font>
      <sz val="9"/>
      <name val="Times New Roman"/>
      <family val="1"/>
    </font>
    <font>
      <b/>
      <sz val="9"/>
      <name val="Times New Roman"/>
      <family val="1"/>
    </font>
    <font>
      <b/>
      <u/>
      <sz val="9"/>
      <name val="Times New Roman"/>
      <family val="1"/>
    </font>
    <font>
      <sz val="9"/>
      <color rgb="FF0000FF"/>
      <name val="Times New Roman"/>
      <family val="1"/>
    </font>
    <font>
      <sz val="9"/>
      <color indexed="12"/>
      <name val="Times New Roman"/>
      <family val="1"/>
    </font>
    <font>
      <b/>
      <sz val="9"/>
      <color indexed="9"/>
      <name val="Times New Roman"/>
      <family val="1"/>
    </font>
    <font>
      <sz val="9"/>
      <color theme="1"/>
      <name val="Arial Narrow"/>
      <family val="2"/>
    </font>
    <font>
      <b/>
      <i/>
      <sz val="10"/>
      <color theme="1"/>
      <name val="Times New Roman"/>
      <family val="1"/>
    </font>
  </fonts>
  <fills count="40">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6"/>
        <bgColor indexed="64"/>
      </patternFill>
    </fill>
    <fill>
      <patternFill patternType="solid">
        <fgColor indexed="15"/>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00FF"/>
        <bgColor indexed="64"/>
      </patternFill>
    </fill>
    <fill>
      <patternFill patternType="solid">
        <fgColor rgb="FFFF5050"/>
        <bgColor indexed="64"/>
      </patternFill>
    </fill>
    <fill>
      <patternFill patternType="solid">
        <fgColor rgb="FFFF99FF"/>
        <bgColor indexed="64"/>
      </patternFill>
    </fill>
    <fill>
      <patternFill patternType="solid">
        <fgColor rgb="FFFF9933"/>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3" fillId="0" borderId="0"/>
  </cellStyleXfs>
  <cellXfs count="2477">
    <xf numFmtId="0" fontId="0" fillId="0" borderId="0" xfId="0"/>
    <xf numFmtId="0" fontId="4" fillId="5" borderId="0" xfId="0" applyFont="1" applyFill="1"/>
    <xf numFmtId="0" fontId="5" fillId="5" borderId="0" xfId="0" applyFont="1" applyFill="1"/>
    <xf numFmtId="0" fontId="4" fillId="0" borderId="0" xfId="0" applyFont="1"/>
    <xf numFmtId="0" fontId="6" fillId="9" borderId="0" xfId="0" applyFont="1" applyFill="1" applyAlignment="1">
      <alignment horizontal="center"/>
    </xf>
    <xf numFmtId="0" fontId="5" fillId="0" borderId="0" xfId="0" applyFont="1"/>
    <xf numFmtId="0" fontId="4" fillId="2" borderId="1" xfId="0" applyFont="1" applyFill="1" applyBorder="1" applyAlignment="1">
      <alignment horizontal="center" vertical="center" wrapText="1"/>
    </xf>
    <xf numFmtId="0" fontId="7" fillId="5" borderId="0" xfId="0" applyFont="1" applyFill="1" applyAlignment="1">
      <alignment horizontal="center" vertical="center"/>
    </xf>
    <xf numFmtId="0" fontId="7" fillId="0" borderId="0" xfId="0" applyFont="1" applyAlignment="1">
      <alignment horizontal="center" vertical="center"/>
    </xf>
    <xf numFmtId="0"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4" fillId="2" borderId="0" xfId="0" applyFont="1" applyFill="1"/>
    <xf numFmtId="0" fontId="5" fillId="2" borderId="0" xfId="0" applyFont="1" applyFill="1"/>
    <xf numFmtId="0" fontId="4" fillId="2" borderId="0" xfId="0" applyFont="1" applyFill="1" applyBorder="1" applyAlignment="1">
      <alignment horizontal="center" vertical="center" wrapText="1"/>
    </xf>
    <xf numFmtId="0" fontId="2" fillId="5" borderId="0" xfId="0" applyFont="1" applyFill="1" applyAlignment="1">
      <alignment horizontal="center" vertical="center"/>
    </xf>
    <xf numFmtId="2"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0" fontId="4" fillId="5" borderId="1" xfId="0" applyNumberFormat="1" applyFont="1" applyFill="1" applyBorder="1" applyAlignment="1">
      <alignment horizontal="left" vertical="center" wrapText="1"/>
    </xf>
    <xf numFmtId="49" fontId="4" fillId="5" borderId="1" xfId="0" applyNumberFormat="1" applyFont="1" applyFill="1" applyBorder="1" applyAlignment="1">
      <alignment horizontal="center" vertical="center"/>
    </xf>
    <xf numFmtId="49" fontId="2" fillId="5" borderId="0" xfId="0" applyNumberFormat="1" applyFont="1" applyFill="1" applyAlignment="1">
      <alignment horizontal="center" vertical="center"/>
    </xf>
    <xf numFmtId="49" fontId="4" fillId="2" borderId="0" xfId="0" applyNumberFormat="1" applyFont="1" applyFill="1"/>
    <xf numFmtId="49" fontId="5" fillId="2" borderId="0" xfId="0" applyNumberFormat="1" applyFont="1" applyFill="1"/>
    <xf numFmtId="2" fontId="2" fillId="5" borderId="0" xfId="0" applyNumberFormat="1" applyFont="1" applyFill="1" applyAlignment="1">
      <alignment horizontal="center" vertical="center"/>
    </xf>
    <xf numFmtId="2" fontId="4" fillId="5" borderId="0" xfId="0" applyNumberFormat="1" applyFont="1" applyFill="1"/>
    <xf numFmtId="2" fontId="4" fillId="2" borderId="0" xfId="0" applyNumberFormat="1" applyFont="1" applyFill="1"/>
    <xf numFmtId="2" fontId="5" fillId="2" borderId="0" xfId="0" applyNumberFormat="1" applyFont="1" applyFill="1"/>
    <xf numFmtId="0" fontId="8" fillId="2" borderId="1" xfId="0" applyNumberFormat="1" applyFont="1" applyFill="1" applyBorder="1" applyAlignment="1">
      <alignment horizontal="center" vertical="center" wrapText="1"/>
    </xf>
    <xf numFmtId="0" fontId="10" fillId="2" borderId="1" xfId="0" applyNumberFormat="1" applyFont="1" applyFill="1" applyBorder="1" applyAlignment="1">
      <alignment vertical="center"/>
    </xf>
    <xf numFmtId="2" fontId="11" fillId="2" borderId="1" xfId="0" applyNumberFormat="1" applyFont="1" applyFill="1" applyBorder="1" applyAlignment="1">
      <alignment horizontal="center" vertical="center"/>
    </xf>
    <xf numFmtId="0" fontId="10" fillId="0" borderId="0" xfId="0" applyFont="1" applyAlignment="1">
      <alignment vertical="center"/>
    </xf>
    <xf numFmtId="0" fontId="14" fillId="2" borderId="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14" fillId="2" borderId="24" xfId="0" applyNumberFormat="1" applyFont="1" applyFill="1" applyBorder="1" applyAlignment="1">
      <alignment horizontal="left" vertical="center" wrapText="1"/>
    </xf>
    <xf numFmtId="0" fontId="14" fillId="2" borderId="13" xfId="0" applyNumberFormat="1" applyFont="1" applyFill="1" applyBorder="1" applyAlignment="1">
      <alignment vertical="center" wrapText="1"/>
    </xf>
    <xf numFmtId="2" fontId="14" fillId="2" borderId="30" xfId="0" applyNumberFormat="1" applyFont="1" applyFill="1" applyBorder="1" applyAlignment="1">
      <alignment horizontal="center" vertical="center"/>
    </xf>
    <xf numFmtId="2" fontId="14" fillId="2" borderId="31" xfId="0" applyNumberFormat="1" applyFont="1" applyFill="1" applyBorder="1" applyAlignment="1">
      <alignment vertical="center"/>
    </xf>
    <xf numFmtId="0" fontId="14" fillId="2" borderId="1" xfId="0" applyNumberFormat="1" applyFont="1" applyFill="1" applyBorder="1" applyAlignment="1">
      <alignment horizontal="left" vertical="center" wrapText="1"/>
    </xf>
    <xf numFmtId="1" fontId="14" fillId="2" borderId="7" xfId="0" applyNumberFormat="1" applyFont="1" applyFill="1" applyBorder="1" applyAlignment="1">
      <alignment horizontal="center" vertical="center"/>
    </xf>
    <xf numFmtId="0" fontId="14" fillId="2" borderId="20" xfId="0" applyNumberFormat="1" applyFont="1" applyFill="1" applyBorder="1" applyAlignment="1">
      <alignment horizontal="left" vertical="center"/>
    </xf>
    <xf numFmtId="2" fontId="14" fillId="0" borderId="1" xfId="0" applyNumberFormat="1" applyFont="1" applyFill="1" applyBorder="1" applyAlignment="1">
      <alignment horizontal="center" vertical="center"/>
    </xf>
    <xf numFmtId="1" fontId="14" fillId="2" borderId="7" xfId="0" applyNumberFormat="1" applyFont="1" applyFill="1" applyBorder="1" applyAlignment="1">
      <alignment horizontal="right" vertical="center"/>
    </xf>
    <xf numFmtId="2" fontId="14" fillId="2" borderId="18" xfId="0" applyNumberFormat="1" applyFont="1" applyFill="1" applyBorder="1" applyAlignment="1">
      <alignment horizontal="center" vertical="center"/>
    </xf>
    <xf numFmtId="2" fontId="14" fillId="2" borderId="1" xfId="0" applyNumberFormat="1" applyFont="1" applyFill="1" applyBorder="1" applyAlignment="1">
      <alignment horizontal="left" vertical="center"/>
    </xf>
    <xf numFmtId="49" fontId="14" fillId="2" borderId="21" xfId="0" applyNumberFormat="1" applyFont="1" applyFill="1" applyBorder="1" applyAlignment="1">
      <alignment horizontal="right" vertical="center"/>
    </xf>
    <xf numFmtId="49" fontId="14" fillId="2" borderId="18" xfId="0" applyNumberFormat="1" applyFont="1" applyFill="1" applyBorder="1" applyAlignment="1">
      <alignment horizontal="center" vertical="center"/>
    </xf>
    <xf numFmtId="0" fontId="14" fillId="2" borderId="20" xfId="0" applyNumberFormat="1" applyFont="1" applyFill="1" applyBorder="1" applyAlignment="1">
      <alignment horizontal="left" vertical="center" wrapText="1"/>
    </xf>
    <xf numFmtId="1" fontId="14"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xf>
    <xf numFmtId="0" fontId="14" fillId="2" borderId="13" xfId="0" applyFont="1" applyFill="1" applyBorder="1" applyAlignment="1">
      <alignment horizontal="left" vertical="center"/>
    </xf>
    <xf numFmtId="2" fontId="14"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2" borderId="8" xfId="0" applyNumberFormat="1" applyFont="1" applyFill="1" applyBorder="1" applyAlignment="1">
      <alignment horizontal="center" vertical="center"/>
    </xf>
    <xf numFmtId="0" fontId="14" fillId="2" borderId="1" xfId="0" applyFont="1" applyFill="1" applyBorder="1" applyAlignment="1">
      <alignment horizontal="center" vertical="center"/>
    </xf>
    <xf numFmtId="1" fontId="14" fillId="2" borderId="8" xfId="0" applyNumberFormat="1" applyFont="1" applyFill="1" applyBorder="1" applyAlignment="1">
      <alignment horizontal="right" vertical="center" wrapText="1"/>
    </xf>
    <xf numFmtId="1" fontId="14" fillId="2" borderId="7" xfId="0" applyNumberFormat="1" applyFont="1" applyFill="1" applyBorder="1" applyAlignment="1">
      <alignment horizontal="right" vertical="center" wrapText="1"/>
    </xf>
    <xf numFmtId="49" fontId="14" fillId="2" borderId="21" xfId="0" applyNumberFormat="1" applyFont="1" applyFill="1" applyBorder="1" applyAlignment="1">
      <alignment horizontal="right" vertical="center" wrapText="1"/>
    </xf>
    <xf numFmtId="49" fontId="17" fillId="2" borderId="9" xfId="0" applyNumberFormat="1" applyFont="1" applyFill="1" applyBorder="1" applyAlignment="1">
      <alignment vertical="center"/>
    </xf>
    <xf numFmtId="0" fontId="9" fillId="2" borderId="13" xfId="0" applyFont="1" applyFill="1" applyBorder="1" applyAlignment="1">
      <alignment horizontal="left" vertical="center"/>
    </xf>
    <xf numFmtId="0" fontId="13"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0" fontId="14" fillId="2" borderId="14" xfId="0" applyNumberFormat="1" applyFont="1" applyFill="1" applyBorder="1" applyAlignment="1">
      <alignment horizontal="center" vertical="center"/>
    </xf>
    <xf numFmtId="0" fontId="14" fillId="2" borderId="15" xfId="0" applyNumberFormat="1" applyFont="1" applyFill="1" applyBorder="1" applyAlignment="1">
      <alignment horizontal="center" vertical="center" wrapText="1"/>
    </xf>
    <xf numFmtId="0" fontId="14" fillId="2" borderId="14" xfId="0" applyFont="1" applyFill="1" applyBorder="1" applyAlignment="1">
      <alignment vertical="center"/>
    </xf>
    <xf numFmtId="0" fontId="14" fillId="2" borderId="13" xfId="0" applyFont="1" applyFill="1" applyBorder="1" applyAlignment="1">
      <alignment vertical="center"/>
    </xf>
    <xf numFmtId="1" fontId="13" fillId="2" borderId="7" xfId="0" applyNumberFormat="1" applyFont="1" applyFill="1" applyBorder="1" applyAlignment="1">
      <alignment horizontal="right" vertical="center"/>
    </xf>
    <xf numFmtId="2" fontId="9" fillId="2" borderId="1" xfId="0" applyNumberFormat="1" applyFont="1" applyFill="1" applyBorder="1" applyAlignment="1">
      <alignment horizontal="center" vertical="center"/>
    </xf>
    <xf numFmtId="1" fontId="13" fillId="2" borderId="8"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wrapText="1"/>
    </xf>
    <xf numFmtId="0" fontId="14" fillId="2" borderId="8"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0" fontId="14" fillId="2" borderId="1" xfId="0" applyNumberFormat="1" applyFont="1" applyFill="1" applyBorder="1" applyAlignment="1">
      <alignment vertical="center"/>
    </xf>
    <xf numFmtId="0" fontId="14" fillId="2" borderId="20" xfId="0" applyNumberFormat="1" applyFont="1" applyFill="1" applyBorder="1" applyAlignment="1">
      <alignment horizontal="right" vertical="center" wrapText="1"/>
    </xf>
    <xf numFmtId="0" fontId="14" fillId="2" borderId="32"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xf>
    <xf numFmtId="0" fontId="14" fillId="2" borderId="8" xfId="0" applyFont="1" applyFill="1" applyBorder="1" applyAlignment="1">
      <alignment vertical="center"/>
    </xf>
    <xf numFmtId="0" fontId="14" fillId="2" borderId="13" xfId="0" applyNumberFormat="1" applyFont="1" applyFill="1" applyBorder="1" applyAlignment="1">
      <alignment horizontal="center" vertical="center"/>
    </xf>
    <xf numFmtId="0" fontId="14" fillId="2" borderId="9" xfId="0" applyNumberFormat="1" applyFont="1" applyFill="1" applyBorder="1" applyAlignment="1">
      <alignment horizontal="center" vertical="center"/>
    </xf>
    <xf numFmtId="0" fontId="14" fillId="2" borderId="1" xfId="0" applyNumberFormat="1" applyFont="1" applyFill="1" applyBorder="1" applyAlignment="1">
      <alignment horizontal="left" vertical="center"/>
    </xf>
    <xf numFmtId="0" fontId="18" fillId="2" borderId="8" xfId="0" applyFont="1" applyFill="1" applyBorder="1" applyAlignment="1">
      <alignment vertical="center"/>
    </xf>
    <xf numFmtId="1" fontId="14" fillId="2" borderId="32" xfId="0" applyNumberFormat="1" applyFont="1" applyFill="1" applyBorder="1" applyAlignment="1">
      <alignment horizontal="left" vertical="center"/>
    </xf>
    <xf numFmtId="2"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14" fillId="2" borderId="9" xfId="0" applyNumberFormat="1" applyFont="1" applyFill="1" applyBorder="1" applyAlignment="1">
      <alignment horizontal="left" vertical="center" wrapText="1"/>
    </xf>
    <xf numFmtId="0" fontId="14" fillId="2" borderId="24" xfId="0" applyNumberFormat="1" applyFont="1" applyFill="1" applyBorder="1" applyAlignment="1">
      <alignment horizontal="left" vertical="center"/>
    </xf>
    <xf numFmtId="1" fontId="14" fillId="2" borderId="8" xfId="0" applyNumberFormat="1" applyFont="1" applyFill="1" applyBorder="1" applyAlignment="1">
      <alignment horizontal="center" vertical="center"/>
    </xf>
    <xf numFmtId="49" fontId="17" fillId="2" borderId="9" xfId="0" applyNumberFormat="1" applyFont="1" applyFill="1" applyBorder="1" applyAlignment="1">
      <alignment horizontal="center" vertical="center"/>
    </xf>
    <xf numFmtId="0" fontId="14" fillId="2" borderId="1" xfId="0" applyFont="1" applyFill="1" applyBorder="1" applyAlignment="1">
      <alignment vertical="center" wrapText="1"/>
    </xf>
    <xf numFmtId="0" fontId="14" fillId="11" borderId="8" xfId="0" applyFont="1" applyFill="1" applyBorder="1" applyAlignment="1">
      <alignment vertical="center"/>
    </xf>
    <xf numFmtId="0" fontId="14" fillId="12" borderId="8" xfId="0" applyFont="1" applyFill="1" applyBorder="1" applyAlignment="1">
      <alignment vertical="center"/>
    </xf>
    <xf numFmtId="0" fontId="14" fillId="12" borderId="9"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2" borderId="1" xfId="0" applyFont="1" applyFill="1" applyBorder="1" applyAlignment="1">
      <alignment vertical="center"/>
    </xf>
    <xf numFmtId="0" fontId="14" fillId="8" borderId="8" xfId="0" applyFont="1" applyFill="1" applyBorder="1" applyAlignment="1">
      <alignment vertical="center"/>
    </xf>
    <xf numFmtId="0" fontId="14" fillId="2" borderId="9" xfId="0" applyFont="1" applyFill="1" applyBorder="1" applyAlignment="1">
      <alignment horizontal="left" vertical="center" wrapText="1"/>
    </xf>
    <xf numFmtId="0" fontId="19" fillId="2" borderId="13"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xf>
    <xf numFmtId="0" fontId="14" fillId="4" borderId="24"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2" fontId="14" fillId="0" borderId="18"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9" xfId="0" applyNumberFormat="1" applyFont="1" applyFill="1" applyBorder="1" applyAlignment="1">
      <alignment horizontal="left" vertical="center" wrapText="1"/>
    </xf>
    <xf numFmtId="0" fontId="14" fillId="4" borderId="1" xfId="0" applyFont="1" applyFill="1" applyBorder="1" applyAlignment="1">
      <alignment vertical="center"/>
    </xf>
    <xf numFmtId="0" fontId="14" fillId="0" borderId="8" xfId="0" applyFont="1" applyFill="1" applyBorder="1" applyAlignment="1">
      <alignment vertical="center"/>
    </xf>
    <xf numFmtId="0" fontId="14" fillId="8" borderId="1" xfId="0" applyFont="1" applyFill="1" applyBorder="1" applyAlignment="1">
      <alignment vertical="center"/>
    </xf>
    <xf numFmtId="0" fontId="19" fillId="2" borderId="14" xfId="0" applyNumberFormat="1" applyFont="1" applyFill="1" applyBorder="1" applyAlignment="1">
      <alignment horizontal="center" vertical="center"/>
    </xf>
    <xf numFmtId="0" fontId="19" fillId="2" borderId="1" xfId="0" applyNumberFormat="1" applyFont="1" applyFill="1" applyBorder="1" applyAlignment="1">
      <alignment horizontal="left" vertical="center" wrapText="1"/>
    </xf>
    <xf numFmtId="0" fontId="18" fillId="2" borderId="1" xfId="0" applyNumberFormat="1" applyFont="1" applyFill="1" applyBorder="1" applyAlignment="1">
      <alignment horizontal="center" vertical="center" wrapText="1"/>
    </xf>
    <xf numFmtId="0" fontId="18" fillId="2" borderId="14"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2" borderId="1" xfId="0" applyNumberFormat="1" applyFont="1" applyFill="1" applyBorder="1" applyAlignment="1">
      <alignment horizontal="left" vertical="center"/>
    </xf>
    <xf numFmtId="0" fontId="18" fillId="2" borderId="8" xfId="0" applyNumberFormat="1" applyFont="1" applyFill="1" applyBorder="1" applyAlignment="1">
      <alignment horizontal="center" vertical="center"/>
    </xf>
    <xf numFmtId="0" fontId="14" fillId="2" borderId="7" xfId="0" applyNumberFormat="1" applyFont="1" applyFill="1" applyBorder="1" applyAlignment="1">
      <alignment horizontal="right" vertical="center"/>
    </xf>
    <xf numFmtId="0" fontId="13" fillId="2" borderId="14" xfId="0" applyFont="1" applyFill="1" applyBorder="1" applyAlignment="1">
      <alignment horizontal="center" vertical="center"/>
    </xf>
    <xf numFmtId="49" fontId="10" fillId="2" borderId="1" xfId="0" applyNumberFormat="1" applyFont="1" applyFill="1" applyBorder="1" applyAlignment="1">
      <alignment horizontal="left" vertical="center"/>
    </xf>
    <xf numFmtId="0" fontId="14" fillId="14" borderId="9" xfId="0" applyNumberFormat="1" applyFont="1" applyFill="1" applyBorder="1" applyAlignment="1">
      <alignment horizontal="left" vertical="center" wrapText="1"/>
    </xf>
    <xf numFmtId="0" fontId="14" fillId="14" borderId="8" xfId="0" applyFont="1" applyFill="1" applyBorder="1" applyAlignment="1">
      <alignment vertical="center"/>
    </xf>
    <xf numFmtId="0" fontId="14" fillId="0" borderId="8" xfId="0" applyFont="1" applyBorder="1"/>
    <xf numFmtId="0" fontId="14" fillId="2" borderId="0" xfId="0" applyNumberFormat="1" applyFont="1" applyFill="1" applyBorder="1" applyAlignment="1">
      <alignment horizontal="left" vertical="center" wrapText="1"/>
    </xf>
    <xf numFmtId="0" fontId="14" fillId="2" borderId="24" xfId="0" applyNumberFormat="1" applyFont="1" applyFill="1" applyBorder="1" applyAlignment="1">
      <alignment vertical="center" wrapText="1"/>
    </xf>
    <xf numFmtId="0" fontId="22" fillId="4" borderId="1" xfId="0" applyNumberFormat="1" applyFont="1" applyFill="1" applyBorder="1" applyAlignment="1">
      <alignment horizontal="center" vertical="center"/>
    </xf>
    <xf numFmtId="0" fontId="13" fillId="7" borderId="14" xfId="0" applyFont="1" applyFill="1" applyBorder="1" applyAlignment="1">
      <alignment horizontal="center" vertical="center"/>
    </xf>
    <xf numFmtId="0" fontId="22" fillId="0" borderId="1" xfId="0" applyNumberFormat="1" applyFont="1" applyFill="1" applyBorder="1" applyAlignment="1">
      <alignment horizontal="center" vertical="center"/>
    </xf>
    <xf numFmtId="0" fontId="13" fillId="0" borderId="14"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4" fillId="15" borderId="0" xfId="0" applyFont="1" applyFill="1"/>
    <xf numFmtId="0" fontId="4" fillId="15" borderId="1" xfId="0" applyNumberFormat="1" applyFont="1" applyFill="1" applyBorder="1" applyAlignment="1">
      <alignment horizontal="left" vertical="center" wrapText="1"/>
    </xf>
    <xf numFmtId="49" fontId="1" fillId="15" borderId="1" xfId="0" applyNumberFormat="1" applyFont="1" applyFill="1" applyBorder="1" applyAlignment="1">
      <alignment horizontal="center" vertical="center" wrapText="1"/>
    </xf>
    <xf numFmtId="2" fontId="4" fillId="15" borderId="1" xfId="0" applyNumberFormat="1" applyFont="1" applyFill="1" applyBorder="1" applyAlignment="1">
      <alignment horizontal="center" vertical="center"/>
    </xf>
    <xf numFmtId="2" fontId="4" fillId="15"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15" borderId="0" xfId="0" applyFont="1" applyFill="1"/>
    <xf numFmtId="3" fontId="4" fillId="15" borderId="0" xfId="0" applyNumberFormat="1" applyFont="1" applyFill="1"/>
    <xf numFmtId="0" fontId="14" fillId="4" borderId="1" xfId="0" applyNumberFormat="1" applyFont="1" applyFill="1" applyBorder="1" applyAlignment="1">
      <alignment horizontal="left" vertical="center" wrapText="1"/>
    </xf>
    <xf numFmtId="0" fontId="14" fillId="2" borderId="33" xfId="0" applyNumberFormat="1" applyFont="1" applyFill="1" applyBorder="1" applyAlignment="1">
      <alignment horizontal="right" vertical="center"/>
    </xf>
    <xf numFmtId="0" fontId="14" fillId="12" borderId="1" xfId="0" applyFont="1" applyFill="1" applyBorder="1" applyAlignment="1">
      <alignment vertical="center"/>
    </xf>
    <xf numFmtId="49" fontId="14" fillId="2" borderId="0" xfId="0" applyNumberFormat="1" applyFont="1" applyFill="1" applyBorder="1" applyAlignment="1">
      <alignment horizontal="center" vertical="center" wrapText="1"/>
    </xf>
    <xf numFmtId="0" fontId="14" fillId="2" borderId="0" xfId="0" applyNumberFormat="1" applyFont="1" applyFill="1" applyBorder="1" applyAlignment="1">
      <alignment horizontal="right" vertical="center"/>
    </xf>
    <xf numFmtId="49" fontId="14" fillId="2" borderId="0" xfId="0" applyNumberFormat="1" applyFont="1" applyFill="1" applyBorder="1" applyAlignment="1">
      <alignment horizontal="center" vertical="center"/>
    </xf>
    <xf numFmtId="49" fontId="17" fillId="2" borderId="0" xfId="0" applyNumberFormat="1" applyFont="1" applyFill="1" applyBorder="1" applyAlignment="1">
      <alignment vertical="center"/>
    </xf>
    <xf numFmtId="0" fontId="15" fillId="2" borderId="1"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xf>
    <xf numFmtId="49" fontId="14" fillId="2" borderId="0" xfId="0" applyNumberFormat="1" applyFont="1" applyFill="1" applyBorder="1" applyAlignment="1">
      <alignment horizontal="right" vertical="center"/>
    </xf>
    <xf numFmtId="1" fontId="14" fillId="2" borderId="0" xfId="0" applyNumberFormat="1" applyFont="1" applyFill="1" applyBorder="1" applyAlignment="1">
      <alignment horizontal="center" vertical="center"/>
    </xf>
    <xf numFmtId="2" fontId="14" fillId="16" borderId="30" xfId="0" applyNumberFormat="1" applyFont="1" applyFill="1" applyBorder="1" applyAlignment="1">
      <alignment horizontal="center" vertical="center"/>
    </xf>
    <xf numFmtId="2" fontId="14" fillId="16" borderId="31" xfId="0" applyNumberFormat="1" applyFont="1" applyFill="1" applyBorder="1" applyAlignment="1">
      <alignment vertical="center"/>
    </xf>
    <xf numFmtId="0" fontId="14" fillId="16" borderId="33" xfId="0" applyNumberFormat="1" applyFont="1" applyFill="1" applyBorder="1" applyAlignment="1">
      <alignment horizontal="right" vertical="center"/>
    </xf>
    <xf numFmtId="0" fontId="14" fillId="16" borderId="20" xfId="0" applyNumberFormat="1" applyFont="1" applyFill="1" applyBorder="1" applyAlignment="1">
      <alignment horizontal="left" vertical="center"/>
    </xf>
    <xf numFmtId="1" fontId="14" fillId="16" borderId="7" xfId="0" applyNumberFormat="1" applyFont="1" applyFill="1" applyBorder="1" applyAlignment="1">
      <alignment horizontal="right" vertical="center"/>
    </xf>
    <xf numFmtId="2" fontId="14" fillId="16" borderId="18" xfId="0" applyNumberFormat="1" applyFont="1" applyFill="1" applyBorder="1" applyAlignment="1">
      <alignment horizontal="center" vertical="center"/>
    </xf>
    <xf numFmtId="1" fontId="14" fillId="16" borderId="32" xfId="0" applyNumberFormat="1" applyFont="1" applyFill="1" applyBorder="1" applyAlignment="1">
      <alignment horizontal="left" vertical="center"/>
    </xf>
    <xf numFmtId="2" fontId="14" fillId="16" borderId="1" xfId="0" applyNumberFormat="1" applyFont="1" applyFill="1" applyBorder="1" applyAlignment="1">
      <alignment horizontal="left" vertical="center"/>
    </xf>
    <xf numFmtId="0" fontId="22" fillId="16" borderId="1" xfId="0" applyNumberFormat="1" applyFont="1" applyFill="1" applyBorder="1" applyAlignment="1">
      <alignment horizontal="center" vertical="center"/>
    </xf>
    <xf numFmtId="0" fontId="14" fillId="16" borderId="13" xfId="0" applyFont="1" applyFill="1" applyBorder="1" applyAlignment="1">
      <alignment horizontal="left" vertical="center"/>
    </xf>
    <xf numFmtId="0" fontId="14" fillId="16" borderId="8" xfId="0" applyNumberFormat="1" applyFont="1" applyFill="1" applyBorder="1" applyAlignment="1">
      <alignment horizontal="center" vertical="center"/>
    </xf>
    <xf numFmtId="49" fontId="17" fillId="16" borderId="9" xfId="0" applyNumberFormat="1" applyFont="1" applyFill="1" applyBorder="1" applyAlignment="1">
      <alignment vertical="center"/>
    </xf>
    <xf numFmtId="0" fontId="9" fillId="16" borderId="13" xfId="0" applyFont="1" applyFill="1" applyBorder="1" applyAlignment="1">
      <alignment horizontal="left" vertical="center"/>
    </xf>
    <xf numFmtId="49" fontId="14" fillId="16" borderId="1" xfId="0" applyNumberFormat="1" applyFont="1" applyFill="1" applyBorder="1" applyAlignment="1">
      <alignment vertical="center"/>
    </xf>
    <xf numFmtId="2" fontId="9" fillId="16" borderId="1" xfId="0" applyNumberFormat="1" applyFont="1" applyFill="1" applyBorder="1" applyAlignment="1">
      <alignment horizontal="center" vertical="center"/>
    </xf>
    <xf numFmtId="0" fontId="14" fillId="16" borderId="24" xfId="0" applyNumberFormat="1" applyFont="1" applyFill="1" applyBorder="1" applyAlignment="1">
      <alignment horizontal="left" vertical="center" wrapText="1"/>
    </xf>
    <xf numFmtId="0" fontId="14" fillId="16" borderId="9" xfId="0" applyNumberFormat="1" applyFont="1" applyFill="1" applyBorder="1" applyAlignment="1">
      <alignment horizontal="center" vertical="center" wrapText="1"/>
    </xf>
    <xf numFmtId="0" fontId="14" fillId="17" borderId="1" xfId="0" applyNumberFormat="1" applyFont="1" applyFill="1" applyBorder="1" applyAlignment="1">
      <alignment horizontal="center" vertical="center" wrapText="1"/>
    </xf>
    <xf numFmtId="0" fontId="14" fillId="17" borderId="1" xfId="0" applyNumberFormat="1" applyFont="1" applyFill="1" applyBorder="1" applyAlignment="1">
      <alignment horizontal="left" vertical="center" wrapText="1"/>
    </xf>
    <xf numFmtId="0" fontId="14" fillId="17" borderId="20" xfId="0" applyNumberFormat="1" applyFont="1" applyFill="1" applyBorder="1" applyAlignment="1">
      <alignment horizontal="left" vertical="center"/>
    </xf>
    <xf numFmtId="0" fontId="14" fillId="17" borderId="20" xfId="0" applyNumberFormat="1" applyFont="1" applyFill="1" applyBorder="1" applyAlignment="1">
      <alignment horizontal="left" vertical="center" wrapText="1"/>
    </xf>
    <xf numFmtId="0" fontId="14" fillId="17" borderId="8" xfId="0" applyFont="1" applyFill="1" applyBorder="1" applyAlignment="1">
      <alignment vertical="center"/>
    </xf>
    <xf numFmtId="0" fontId="14" fillId="2" borderId="0" xfId="0" applyFont="1" applyFill="1" applyBorder="1" applyAlignment="1">
      <alignment horizontal="left" vertical="center"/>
    </xf>
    <xf numFmtId="0" fontId="14" fillId="2" borderId="0" xfId="0" applyNumberFormat="1" applyFont="1" applyFill="1" applyBorder="1" applyAlignment="1">
      <alignment horizontal="left" vertical="center"/>
    </xf>
    <xf numFmtId="0" fontId="13" fillId="7" borderId="0" xfId="0" applyFont="1" applyFill="1" applyBorder="1" applyAlignment="1">
      <alignment horizontal="center" vertical="center"/>
    </xf>
    <xf numFmtId="0" fontId="14" fillId="2" borderId="0" xfId="0" applyFont="1" applyFill="1" applyBorder="1" applyAlignment="1">
      <alignment vertical="center"/>
    </xf>
    <xf numFmtId="0" fontId="14" fillId="2" borderId="0" xfId="0" applyNumberFormat="1" applyFont="1" applyFill="1" applyBorder="1" applyAlignment="1">
      <alignment horizontal="right" vertical="center" wrapText="1"/>
    </xf>
    <xf numFmtId="0" fontId="14" fillId="18" borderId="8" xfId="0" applyFont="1" applyFill="1" applyBorder="1" applyAlignment="1">
      <alignment vertical="center"/>
    </xf>
    <xf numFmtId="0" fontId="14" fillId="0" borderId="20" xfId="0" applyNumberFormat="1" applyFont="1" applyFill="1" applyBorder="1" applyAlignment="1">
      <alignment horizontal="left" vertical="center" wrapText="1"/>
    </xf>
    <xf numFmtId="49" fontId="14" fillId="16" borderId="1" xfId="0" applyNumberFormat="1" applyFont="1" applyFill="1" applyBorder="1" applyAlignment="1">
      <alignment horizontal="left" vertical="center" wrapText="1"/>
    </xf>
    <xf numFmtId="0" fontId="4" fillId="19" borderId="1" xfId="0" applyNumberFormat="1" applyFont="1" applyFill="1" applyBorder="1" applyAlignment="1">
      <alignment horizontal="left" vertical="center" wrapText="1"/>
    </xf>
    <xf numFmtId="0" fontId="4" fillId="20" borderId="1" xfId="0" applyNumberFormat="1" applyFont="1" applyFill="1" applyBorder="1" applyAlignment="1">
      <alignment horizontal="left" vertical="center" wrapText="1"/>
    </xf>
    <xf numFmtId="0" fontId="24" fillId="16" borderId="8" xfId="0" applyFont="1" applyFill="1" applyBorder="1" applyAlignment="1">
      <alignment vertical="center"/>
    </xf>
    <xf numFmtId="0" fontId="24" fillId="2" borderId="1" xfId="0" applyNumberFormat="1" applyFont="1" applyFill="1" applyBorder="1" applyAlignment="1">
      <alignment horizontal="center" vertical="center" wrapText="1"/>
    </xf>
    <xf numFmtId="0" fontId="14" fillId="17" borderId="24" xfId="0" applyNumberFormat="1" applyFont="1" applyFill="1" applyBorder="1" applyAlignment="1">
      <alignment horizontal="left" vertical="center" wrapText="1"/>
    </xf>
    <xf numFmtId="2" fontId="14" fillId="2" borderId="8" xfId="0" applyNumberFormat="1" applyFont="1" applyFill="1" applyBorder="1" applyAlignment="1">
      <alignment horizontal="left" vertical="center"/>
    </xf>
    <xf numFmtId="0" fontId="10" fillId="2" borderId="9" xfId="0" applyFont="1" applyFill="1" applyBorder="1" applyAlignment="1">
      <alignment horizontal="left" vertical="center"/>
    </xf>
    <xf numFmtId="0" fontId="14" fillId="17" borderId="1" xfId="0" applyFont="1" applyFill="1" applyBorder="1" applyAlignment="1">
      <alignment vertical="center"/>
    </xf>
    <xf numFmtId="0" fontId="14" fillId="16" borderId="0" xfId="0" applyNumberFormat="1" applyFont="1" applyFill="1" applyBorder="1" applyAlignment="1">
      <alignment horizontal="center" vertical="center" wrapText="1"/>
    </xf>
    <xf numFmtId="49" fontId="14" fillId="16" borderId="0" xfId="0" applyNumberFormat="1" applyFont="1" applyFill="1" applyBorder="1" applyAlignment="1">
      <alignment horizontal="right" vertical="center"/>
    </xf>
    <xf numFmtId="0" fontId="14" fillId="16" borderId="1" xfId="0" applyNumberFormat="1" applyFont="1" applyFill="1" applyBorder="1" applyAlignment="1">
      <alignment vertical="center" wrapText="1"/>
    </xf>
    <xf numFmtId="49" fontId="17" fillId="2" borderId="9" xfId="0" applyNumberFormat="1" applyFont="1" applyFill="1" applyBorder="1" applyAlignment="1">
      <alignment vertical="center" wrapText="1"/>
    </xf>
    <xf numFmtId="0" fontId="4" fillId="22" borderId="1" xfId="0" applyNumberFormat="1" applyFont="1" applyFill="1" applyBorder="1" applyAlignment="1">
      <alignment horizontal="left" vertical="center" wrapText="1"/>
    </xf>
    <xf numFmtId="49" fontId="1" fillId="22" borderId="1" xfId="0" applyNumberFormat="1" applyFont="1" applyFill="1" applyBorder="1" applyAlignment="1">
      <alignment horizontal="center" vertical="center" wrapText="1"/>
    </xf>
    <xf numFmtId="2" fontId="4" fillId="22" borderId="1" xfId="0" applyNumberFormat="1" applyFont="1" applyFill="1" applyBorder="1" applyAlignment="1">
      <alignment horizontal="center" vertical="center"/>
    </xf>
    <xf numFmtId="2" fontId="4" fillId="22" borderId="1" xfId="0" applyNumberFormat="1" applyFont="1" applyFill="1" applyBorder="1" applyAlignment="1">
      <alignment horizontal="center" vertical="center" wrapText="1"/>
    </xf>
    <xf numFmtId="0" fontId="4" fillId="22" borderId="1" xfId="0" applyFont="1" applyFill="1" applyBorder="1" applyAlignment="1">
      <alignment horizontal="center" vertical="center" wrapText="1"/>
    </xf>
    <xf numFmtId="0" fontId="14" fillId="23" borderId="1" xfId="0" applyNumberFormat="1" applyFont="1" applyFill="1" applyBorder="1" applyAlignment="1">
      <alignment horizontal="center" vertical="center" wrapText="1"/>
    </xf>
    <xf numFmtId="0" fontId="14" fillId="23" borderId="1" xfId="0" applyNumberFormat="1" applyFont="1" applyFill="1" applyBorder="1" applyAlignment="1">
      <alignment horizontal="left" vertical="center" wrapText="1"/>
    </xf>
    <xf numFmtId="0" fontId="14" fillId="23" borderId="13" xfId="0" applyNumberFormat="1" applyFont="1" applyFill="1" applyBorder="1" applyAlignment="1">
      <alignment horizontal="center" vertical="center" wrapText="1"/>
    </xf>
    <xf numFmtId="2" fontId="14" fillId="23" borderId="30" xfId="0" applyNumberFormat="1" applyFont="1" applyFill="1" applyBorder="1" applyAlignment="1">
      <alignment horizontal="center" vertical="center"/>
    </xf>
    <xf numFmtId="2" fontId="14" fillId="23" borderId="31" xfId="0" applyNumberFormat="1" applyFont="1" applyFill="1" applyBorder="1" applyAlignment="1">
      <alignment vertical="center"/>
    </xf>
    <xf numFmtId="1" fontId="14" fillId="23" borderId="1" xfId="0" applyNumberFormat="1" applyFont="1" applyFill="1" applyBorder="1" applyAlignment="1">
      <alignment horizontal="center" vertical="center"/>
    </xf>
    <xf numFmtId="0" fontId="14" fillId="23" borderId="33" xfId="0" applyNumberFormat="1" applyFont="1" applyFill="1" applyBorder="1" applyAlignment="1">
      <alignment horizontal="right" vertical="center"/>
    </xf>
    <xf numFmtId="0" fontId="14" fillId="23" borderId="20" xfId="0" applyNumberFormat="1" applyFont="1" applyFill="1" applyBorder="1" applyAlignment="1">
      <alignment horizontal="left" vertical="center"/>
    </xf>
    <xf numFmtId="2" fontId="14" fillId="23" borderId="1" xfId="0" applyNumberFormat="1" applyFont="1" applyFill="1" applyBorder="1" applyAlignment="1">
      <alignment horizontal="center" vertical="center"/>
    </xf>
    <xf numFmtId="1" fontId="14" fillId="23" borderId="7" xfId="0" applyNumberFormat="1" applyFont="1" applyFill="1" applyBorder="1" applyAlignment="1">
      <alignment horizontal="right" vertical="center"/>
    </xf>
    <xf numFmtId="2" fontId="14" fillId="23" borderId="18" xfId="0" applyNumberFormat="1" applyFont="1" applyFill="1" applyBorder="1" applyAlignment="1">
      <alignment horizontal="center" vertical="center"/>
    </xf>
    <xf numFmtId="1" fontId="14" fillId="23" borderId="32" xfId="0" applyNumberFormat="1" applyFont="1" applyFill="1" applyBorder="1" applyAlignment="1">
      <alignment horizontal="left" vertical="center"/>
    </xf>
    <xf numFmtId="2" fontId="14" fillId="23" borderId="1" xfId="0" applyNumberFormat="1" applyFont="1" applyFill="1" applyBorder="1" applyAlignment="1">
      <alignment horizontal="left" vertical="center"/>
    </xf>
    <xf numFmtId="49" fontId="14" fillId="23" borderId="21" xfId="0" applyNumberFormat="1" applyFont="1" applyFill="1" applyBorder="1" applyAlignment="1">
      <alignment horizontal="right" vertical="center"/>
    </xf>
    <xf numFmtId="49" fontId="14" fillId="23" borderId="0" xfId="0" applyNumberFormat="1" applyFont="1" applyFill="1" applyBorder="1" applyAlignment="1">
      <alignment horizontal="center" vertical="center"/>
    </xf>
    <xf numFmtId="49" fontId="14" fillId="23" borderId="18" xfId="0" applyNumberFormat="1" applyFont="1" applyFill="1" applyBorder="1" applyAlignment="1">
      <alignment horizontal="center" vertical="center"/>
    </xf>
    <xf numFmtId="0" fontId="14" fillId="23" borderId="20" xfId="0" applyNumberFormat="1" applyFont="1" applyFill="1" applyBorder="1" applyAlignment="1">
      <alignment horizontal="left" vertical="center" wrapText="1"/>
    </xf>
    <xf numFmtId="0" fontId="22" fillId="23" borderId="1" xfId="0" applyNumberFormat="1" applyFont="1" applyFill="1" applyBorder="1" applyAlignment="1">
      <alignment horizontal="center" vertical="center"/>
    </xf>
    <xf numFmtId="1" fontId="14" fillId="23" borderId="1" xfId="0" applyNumberFormat="1" applyFont="1" applyFill="1" applyBorder="1" applyAlignment="1">
      <alignment horizontal="center" vertical="center" wrapText="1"/>
    </xf>
    <xf numFmtId="0" fontId="13" fillId="23" borderId="14" xfId="0" applyFont="1" applyFill="1" applyBorder="1" applyAlignment="1">
      <alignment horizontal="center" vertical="center"/>
    </xf>
    <xf numFmtId="0" fontId="14" fillId="23" borderId="13" xfId="0" applyFont="1" applyFill="1" applyBorder="1" applyAlignment="1">
      <alignment horizontal="left" vertical="center"/>
    </xf>
    <xf numFmtId="0" fontId="14" fillId="23" borderId="1" xfId="0" applyFont="1" applyFill="1" applyBorder="1" applyAlignment="1">
      <alignment horizontal="center" vertical="center"/>
    </xf>
    <xf numFmtId="1" fontId="14" fillId="23" borderId="8" xfId="0" applyNumberFormat="1" applyFont="1" applyFill="1" applyBorder="1" applyAlignment="1">
      <alignment horizontal="right" vertical="center" wrapText="1"/>
    </xf>
    <xf numFmtId="1" fontId="14" fillId="23" borderId="7" xfId="0" applyNumberFormat="1" applyFont="1" applyFill="1" applyBorder="1" applyAlignment="1">
      <alignment horizontal="right" vertical="center" wrapText="1"/>
    </xf>
    <xf numFmtId="49" fontId="17" fillId="23" borderId="9" xfId="0" applyNumberFormat="1" applyFont="1" applyFill="1" applyBorder="1" applyAlignment="1">
      <alignment vertical="center"/>
    </xf>
    <xf numFmtId="0" fontId="9" fillId="23" borderId="13" xfId="0" applyFont="1" applyFill="1" applyBorder="1" applyAlignment="1">
      <alignment horizontal="left" vertical="center"/>
    </xf>
    <xf numFmtId="0" fontId="13" fillId="23" borderId="1" xfId="0" applyNumberFormat="1" applyFont="1" applyFill="1" applyBorder="1" applyAlignment="1">
      <alignment horizontal="center" vertical="center" wrapText="1"/>
    </xf>
    <xf numFmtId="1" fontId="14" fillId="23" borderId="7" xfId="0" applyNumberFormat="1" applyFont="1" applyFill="1" applyBorder="1" applyAlignment="1">
      <alignment horizontal="center" vertical="center"/>
    </xf>
    <xf numFmtId="0" fontId="14" fillId="23" borderId="1" xfId="0" applyFont="1" applyFill="1" applyBorder="1" applyAlignment="1">
      <alignment vertical="center"/>
    </xf>
    <xf numFmtId="0" fontId="14" fillId="23" borderId="1" xfId="0" applyNumberFormat="1" applyFont="1" applyFill="1" applyBorder="1" applyAlignment="1">
      <alignment horizontal="center" vertical="center"/>
    </xf>
    <xf numFmtId="0" fontId="14" fillId="23" borderId="14" xfId="0" applyNumberFormat="1" applyFont="1" applyFill="1" applyBorder="1" applyAlignment="1">
      <alignment horizontal="center" vertical="center"/>
    </xf>
    <xf numFmtId="0" fontId="14" fillId="23" borderId="15" xfId="0" applyNumberFormat="1" applyFont="1" applyFill="1" applyBorder="1" applyAlignment="1">
      <alignment horizontal="center" vertical="center" wrapText="1"/>
    </xf>
    <xf numFmtId="0" fontId="14" fillId="23" borderId="13" xfId="0" applyNumberFormat="1" applyFont="1" applyFill="1" applyBorder="1" applyAlignment="1">
      <alignment horizontal="center" vertical="center"/>
    </xf>
    <xf numFmtId="1" fontId="13" fillId="23" borderId="7" xfId="0" applyNumberFormat="1" applyFont="1" applyFill="1" applyBorder="1" applyAlignment="1">
      <alignment horizontal="right" vertical="center"/>
    </xf>
    <xf numFmtId="2" fontId="9" fillId="23" borderId="1" xfId="0" applyNumberFormat="1" applyFont="1" applyFill="1" applyBorder="1" applyAlignment="1">
      <alignment horizontal="center" vertical="center"/>
    </xf>
    <xf numFmtId="0" fontId="14" fillId="23" borderId="14" xfId="0" applyFont="1" applyFill="1" applyBorder="1" applyAlignment="1">
      <alignment vertical="center"/>
    </xf>
    <xf numFmtId="0" fontId="14" fillId="23" borderId="13" xfId="0" applyFont="1" applyFill="1" applyBorder="1" applyAlignment="1">
      <alignment vertical="center"/>
    </xf>
    <xf numFmtId="1" fontId="13" fillId="23" borderId="8" xfId="0" applyNumberFormat="1" applyFont="1" applyFill="1" applyBorder="1" applyAlignment="1">
      <alignment horizontal="center" vertical="center"/>
    </xf>
    <xf numFmtId="1" fontId="13" fillId="23" borderId="24" xfId="0" applyNumberFormat="1" applyFont="1" applyFill="1" applyBorder="1" applyAlignment="1">
      <alignment horizontal="center" vertical="center" wrapText="1"/>
    </xf>
    <xf numFmtId="0" fontId="14" fillId="23" borderId="8" xfId="0" applyNumberFormat="1" applyFont="1" applyFill="1" applyBorder="1" applyAlignment="1">
      <alignment horizontal="center" vertical="center" wrapText="1"/>
    </xf>
    <xf numFmtId="0" fontId="14" fillId="23" borderId="9" xfId="0" applyNumberFormat="1" applyFont="1" applyFill="1" applyBorder="1" applyAlignment="1">
      <alignment horizontal="center" vertical="center"/>
    </xf>
    <xf numFmtId="0" fontId="14" fillId="23" borderId="1" xfId="0" applyNumberFormat="1" applyFont="1" applyFill="1" applyBorder="1" applyAlignment="1">
      <alignment horizontal="left" vertical="center"/>
    </xf>
    <xf numFmtId="0" fontId="14" fillId="23" borderId="1" xfId="0" applyNumberFormat="1" applyFont="1" applyFill="1" applyBorder="1" applyAlignment="1">
      <alignment vertical="center"/>
    </xf>
    <xf numFmtId="0" fontId="14" fillId="23" borderId="20" xfId="0" applyNumberFormat="1" applyFont="1" applyFill="1" applyBorder="1" applyAlignment="1">
      <alignment horizontal="right" vertical="center" wrapText="1"/>
    </xf>
    <xf numFmtId="0" fontId="14" fillId="23" borderId="32" xfId="0" applyNumberFormat="1" applyFont="1" applyFill="1" applyBorder="1" applyAlignment="1">
      <alignment horizontal="center" vertical="center" wrapText="1"/>
    </xf>
    <xf numFmtId="1" fontId="13" fillId="23" borderId="1" xfId="0" applyNumberFormat="1" applyFont="1" applyFill="1" applyBorder="1" applyAlignment="1">
      <alignment horizontal="center" vertical="center"/>
    </xf>
    <xf numFmtId="0" fontId="14" fillId="23" borderId="9" xfId="0" applyNumberFormat="1" applyFont="1" applyFill="1" applyBorder="1" applyAlignment="1">
      <alignment horizontal="left" vertical="center" wrapText="1"/>
    </xf>
    <xf numFmtId="0" fontId="14" fillId="23" borderId="8" xfId="0" applyFont="1" applyFill="1" applyBorder="1" applyAlignment="1">
      <alignment vertical="center"/>
    </xf>
    <xf numFmtId="0" fontId="14" fillId="23" borderId="1" xfId="0" applyFont="1" applyFill="1" applyBorder="1" applyAlignment="1">
      <alignment horizontal="left" vertical="center" wrapText="1"/>
    </xf>
    <xf numFmtId="0" fontId="14" fillId="23" borderId="24" xfId="0" applyNumberFormat="1" applyFont="1" applyFill="1" applyBorder="1" applyAlignment="1">
      <alignment horizontal="left" vertical="center"/>
    </xf>
    <xf numFmtId="0" fontId="14" fillId="24" borderId="8" xfId="0" applyFont="1" applyFill="1" applyBorder="1" applyAlignment="1">
      <alignment vertical="center"/>
    </xf>
    <xf numFmtId="0" fontId="14" fillId="22" borderId="8" xfId="0" applyFont="1" applyFill="1" applyBorder="1" applyAlignment="1">
      <alignment vertical="center"/>
    </xf>
    <xf numFmtId="1" fontId="14" fillId="2" borderId="8" xfId="0" applyNumberFormat="1" applyFont="1" applyFill="1" applyBorder="1" applyAlignment="1">
      <alignment horizontal="right" vertical="center"/>
    </xf>
    <xf numFmtId="0" fontId="15"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xf>
    <xf numFmtId="2" fontId="12" fillId="2" borderId="1" xfId="0" applyNumberFormat="1" applyFont="1" applyFill="1" applyBorder="1" applyAlignment="1">
      <alignment vertical="center"/>
    </xf>
    <xf numFmtId="1" fontId="26" fillId="16" borderId="2" xfId="0" applyNumberFormat="1" applyFont="1" applyFill="1" applyBorder="1" applyAlignment="1">
      <alignment horizontal="center" vertical="center"/>
    </xf>
    <xf numFmtId="0" fontId="26" fillId="16" borderId="2" xfId="0" applyFont="1" applyFill="1" applyBorder="1" applyAlignment="1">
      <alignment horizontal="center" vertical="center"/>
    </xf>
    <xf numFmtId="0" fontId="7" fillId="5" borderId="0" xfId="0" applyNumberFormat="1" applyFont="1" applyFill="1" applyAlignment="1">
      <alignment horizontal="center" vertical="center"/>
    </xf>
    <xf numFmtId="0" fontId="4" fillId="16" borderId="1" xfId="0" applyNumberFormat="1" applyFont="1" applyFill="1" applyBorder="1" applyAlignment="1">
      <alignment horizontal="center" vertical="center"/>
    </xf>
    <xf numFmtId="0" fontId="4" fillId="26" borderId="1" xfId="0" applyNumberFormat="1" applyFont="1" applyFill="1" applyBorder="1" applyAlignment="1">
      <alignment horizontal="left" vertical="center" wrapText="1"/>
    </xf>
    <xf numFmtId="49" fontId="1" fillId="26" borderId="1" xfId="0" applyNumberFormat="1" applyFont="1" applyFill="1" applyBorder="1" applyAlignment="1">
      <alignment horizontal="center" vertical="center" wrapText="1"/>
    </xf>
    <xf numFmtId="2" fontId="4" fillId="26" borderId="1" xfId="0" applyNumberFormat="1" applyFont="1" applyFill="1" applyBorder="1" applyAlignment="1">
      <alignment horizontal="center" vertical="center"/>
    </xf>
    <xf numFmtId="2" fontId="4" fillId="26" borderId="1" xfId="0" applyNumberFormat="1" applyFont="1" applyFill="1" applyBorder="1" applyAlignment="1">
      <alignment horizontal="center" vertical="center" wrapText="1"/>
    </xf>
    <xf numFmtId="0" fontId="4" fillId="26" borderId="1" xfId="0" applyFont="1" applyFill="1" applyBorder="1" applyAlignment="1">
      <alignment horizontal="center" vertical="center" wrapText="1"/>
    </xf>
    <xf numFmtId="3" fontId="4" fillId="0" borderId="0" xfId="0" applyNumberFormat="1" applyFont="1"/>
    <xf numFmtId="0" fontId="4" fillId="25" borderId="0" xfId="0" applyFont="1" applyFill="1"/>
    <xf numFmtId="0" fontId="4" fillId="25" borderId="7" xfId="0" applyFont="1" applyFill="1" applyBorder="1" applyAlignment="1">
      <alignment horizontal="center" vertical="center"/>
    </xf>
    <xf numFmtId="0" fontId="4" fillId="16" borderId="1" xfId="0" applyNumberFormat="1" applyFont="1" applyFill="1" applyBorder="1"/>
    <xf numFmtId="0" fontId="27" fillId="25" borderId="1" xfId="0" applyNumberFormat="1" applyFont="1" applyFill="1" applyBorder="1"/>
    <xf numFmtId="0" fontId="28" fillId="25" borderId="1" xfId="0" applyNumberFormat="1" applyFont="1" applyFill="1" applyBorder="1" applyAlignment="1">
      <alignment horizontal="left" vertical="center" wrapText="1"/>
    </xf>
    <xf numFmtId="49" fontId="29" fillId="25" borderId="1" xfId="0" applyNumberFormat="1" applyFont="1" applyFill="1" applyBorder="1" applyAlignment="1">
      <alignment horizontal="center" vertical="center" wrapText="1"/>
    </xf>
    <xf numFmtId="2" fontId="27" fillId="25" borderId="0" xfId="0" applyNumberFormat="1" applyFont="1" applyFill="1" applyBorder="1" applyAlignment="1">
      <alignment horizontal="center" vertical="center"/>
    </xf>
    <xf numFmtId="2" fontId="27" fillId="25" borderId="0" xfId="0" applyNumberFormat="1" applyFont="1" applyFill="1" applyBorder="1" applyAlignment="1">
      <alignment horizontal="center" vertical="center" wrapText="1"/>
    </xf>
    <xf numFmtId="0" fontId="27" fillId="25" borderId="0" xfId="0" applyFont="1" applyFill="1" applyBorder="1" applyAlignment="1">
      <alignment horizontal="center" vertical="center" wrapText="1"/>
    </xf>
    <xf numFmtId="0" fontId="4" fillId="27" borderId="1" xfId="0" applyNumberFormat="1" applyFont="1" applyFill="1" applyBorder="1" applyAlignment="1">
      <alignment horizontal="left" vertical="center" wrapText="1"/>
    </xf>
    <xf numFmtId="2" fontId="1" fillId="27" borderId="1" xfId="0" applyNumberFormat="1" applyFont="1" applyFill="1" applyBorder="1" applyAlignment="1">
      <alignment horizontal="center" vertical="center" wrapText="1"/>
    </xf>
    <xf numFmtId="2" fontId="4" fillId="16" borderId="0" xfId="0" applyNumberFormat="1" applyFont="1" applyFill="1" applyBorder="1" applyAlignment="1">
      <alignment horizontal="center" vertical="center"/>
    </xf>
    <xf numFmtId="2" fontId="4" fillId="16" borderId="0" xfId="0" applyNumberFormat="1" applyFont="1" applyFill="1" applyBorder="1" applyAlignment="1">
      <alignment horizontal="center" vertical="center" wrapText="1"/>
    </xf>
    <xf numFmtId="0" fontId="4" fillId="16" borderId="0" xfId="0" applyFont="1" applyFill="1" applyBorder="1" applyAlignment="1">
      <alignment horizontal="center" vertical="center" wrapText="1"/>
    </xf>
    <xf numFmtId="0" fontId="5" fillId="16" borderId="0" xfId="0" applyFont="1" applyFill="1"/>
    <xf numFmtId="0" fontId="4" fillId="16" borderId="0" xfId="0" applyFont="1" applyFill="1"/>
    <xf numFmtId="164" fontId="1" fillId="27" borderId="1" xfId="0" applyNumberFormat="1" applyFont="1" applyFill="1" applyBorder="1" applyAlignment="1">
      <alignment horizontal="center" vertical="center" wrapText="1"/>
    </xf>
    <xf numFmtId="0" fontId="4" fillId="28" borderId="1" xfId="0" applyNumberFormat="1" applyFont="1" applyFill="1" applyBorder="1" applyAlignment="1">
      <alignment horizontal="left" vertical="center" wrapText="1"/>
    </xf>
    <xf numFmtId="164" fontId="1" fillId="28" borderId="1" xfId="0" applyNumberFormat="1" applyFont="1" applyFill="1" applyBorder="1" applyAlignment="1">
      <alignment horizontal="center" vertical="center" wrapText="1"/>
    </xf>
    <xf numFmtId="0" fontId="4" fillId="29" borderId="1" xfId="0" applyNumberFormat="1" applyFont="1" applyFill="1" applyBorder="1" applyAlignment="1">
      <alignment horizontal="left" vertical="center" wrapText="1"/>
    </xf>
    <xf numFmtId="164" fontId="1" fillId="29" borderId="1" xfId="0" applyNumberFormat="1" applyFont="1" applyFill="1" applyBorder="1" applyAlignment="1">
      <alignment horizontal="center" vertical="center" wrapText="1"/>
    </xf>
    <xf numFmtId="0" fontId="4" fillId="30" borderId="1" xfId="0" applyNumberFormat="1" applyFont="1" applyFill="1" applyBorder="1" applyAlignment="1">
      <alignment horizontal="left" vertical="center" wrapText="1"/>
    </xf>
    <xf numFmtId="164" fontId="1" fillId="30" borderId="1" xfId="0" applyNumberFormat="1" applyFont="1" applyFill="1" applyBorder="1" applyAlignment="1">
      <alignment horizontal="center" vertical="center" wrapText="1"/>
    </xf>
    <xf numFmtId="0" fontId="4" fillId="30" borderId="14" xfId="0" applyNumberFormat="1" applyFont="1" applyFill="1" applyBorder="1" applyAlignment="1">
      <alignment horizontal="left" vertical="center" wrapText="1"/>
    </xf>
    <xf numFmtId="0" fontId="4" fillId="31" borderId="1" xfId="0" applyNumberFormat="1" applyFont="1" applyFill="1" applyBorder="1" applyAlignment="1">
      <alignment horizontal="left" vertical="center" wrapText="1"/>
    </xf>
    <xf numFmtId="164" fontId="1" fillId="31" borderId="1" xfId="0" applyNumberFormat="1" applyFont="1" applyFill="1" applyBorder="1" applyAlignment="1">
      <alignment horizontal="center" vertical="center" wrapText="1"/>
    </xf>
    <xf numFmtId="0" fontId="4" fillId="31" borderId="7" xfId="0" applyNumberFormat="1" applyFont="1" applyFill="1" applyBorder="1" applyAlignment="1">
      <alignment horizontal="left" vertical="center" wrapText="1"/>
    </xf>
    <xf numFmtId="0" fontId="4" fillId="16" borderId="1" xfId="0" applyNumberFormat="1" applyFont="1" applyFill="1" applyBorder="1" applyAlignment="1">
      <alignment horizontal="left" vertical="center" wrapText="1"/>
    </xf>
    <xf numFmtId="49" fontId="1" fillId="16" borderId="1" xfId="0" applyNumberFormat="1" applyFont="1" applyFill="1" applyBorder="1" applyAlignment="1">
      <alignment horizontal="center" vertical="center" wrapText="1"/>
    </xf>
    <xf numFmtId="0" fontId="4" fillId="5" borderId="0" xfId="0" applyNumberFormat="1" applyFont="1" applyFill="1"/>
    <xf numFmtId="0" fontId="4" fillId="0" borderId="0" xfId="0" applyNumberFormat="1" applyFont="1"/>
    <xf numFmtId="0" fontId="5" fillId="0" borderId="0" xfId="0" applyNumberFormat="1" applyFont="1"/>
    <xf numFmtId="0" fontId="26" fillId="16" borderId="2" xfId="0" applyFont="1" applyFill="1" applyBorder="1" applyAlignment="1">
      <alignment vertical="center" wrapText="1"/>
    </xf>
    <xf numFmtId="0" fontId="26" fillId="16" borderId="1" xfId="0" applyNumberFormat="1" applyFont="1" applyFill="1" applyBorder="1" applyAlignment="1">
      <alignment horizontal="center" vertical="center" wrapText="1"/>
    </xf>
    <xf numFmtId="0" fontId="14" fillId="0" borderId="1" xfId="0" applyFont="1" applyBorder="1"/>
    <xf numFmtId="0" fontId="14" fillId="0" borderId="1" xfId="0" applyFont="1" applyBorder="1" applyAlignment="1">
      <alignment vertical="center"/>
    </xf>
    <xf numFmtId="0" fontId="14" fillId="0" borderId="18" xfId="0" applyFont="1" applyBorder="1"/>
    <xf numFmtId="0" fontId="14" fillId="0" borderId="21" xfId="0" applyFont="1" applyBorder="1"/>
    <xf numFmtId="0" fontId="14" fillId="0" borderId="13" xfId="0" applyFont="1" applyBorder="1"/>
    <xf numFmtId="0" fontId="14" fillId="0" borderId="9" xfId="0" applyFont="1" applyBorder="1"/>
    <xf numFmtId="0" fontId="14" fillId="0" borderId="0" xfId="0" applyFont="1" applyBorder="1" applyAlignment="1">
      <alignment vertical="center"/>
    </xf>
    <xf numFmtId="0" fontId="14" fillId="0" borderId="15" xfId="0" applyFont="1" applyBorder="1"/>
    <xf numFmtId="0" fontId="14" fillId="0" borderId="24" xfId="0" applyFont="1" applyBorder="1"/>
    <xf numFmtId="0" fontId="14" fillId="0" borderId="0" xfId="0" applyFont="1" applyAlignment="1">
      <alignment vertical="center"/>
    </xf>
    <xf numFmtId="0" fontId="14" fillId="16" borderId="0" xfId="0" applyFont="1" applyFill="1" applyBorder="1" applyAlignment="1">
      <alignment vertical="center"/>
    </xf>
    <xf numFmtId="0" fontId="14" fillId="16" borderId="1" xfId="0" applyFont="1" applyFill="1" applyBorder="1"/>
    <xf numFmtId="0" fontId="14" fillId="23" borderId="0" xfId="0" applyFont="1" applyFill="1" applyAlignment="1">
      <alignment vertical="center"/>
    </xf>
    <xf numFmtId="0" fontId="14" fillId="16" borderId="8" xfId="0" applyFont="1" applyFill="1" applyBorder="1"/>
    <xf numFmtId="0" fontId="14" fillId="0" borderId="0" xfId="0" applyFont="1" applyBorder="1"/>
    <xf numFmtId="0" fontId="14" fillId="16" borderId="24" xfId="0" applyFont="1" applyFill="1" applyBorder="1"/>
    <xf numFmtId="0" fontId="14" fillId="16" borderId="21" xfId="0" applyFont="1" applyFill="1" applyBorder="1"/>
    <xf numFmtId="0" fontId="14" fillId="23" borderId="0" xfId="0" applyFont="1" applyFill="1" applyBorder="1" applyAlignment="1">
      <alignment vertical="center"/>
    </xf>
    <xf numFmtId="0" fontId="14" fillId="16" borderId="25" xfId="0" applyNumberFormat="1" applyFont="1" applyFill="1" applyBorder="1" applyAlignment="1">
      <alignment vertical="center" wrapText="1"/>
    </xf>
    <xf numFmtId="0" fontId="14" fillId="33" borderId="1" xfId="0" applyNumberFormat="1" applyFont="1" applyFill="1" applyBorder="1" applyAlignment="1">
      <alignment horizontal="left" vertical="center" wrapText="1"/>
    </xf>
    <xf numFmtId="0" fontId="31" fillId="0" borderId="1" xfId="0" applyFont="1" applyFill="1" applyBorder="1" applyAlignment="1">
      <alignment vertical="center"/>
    </xf>
    <xf numFmtId="0" fontId="31" fillId="0" borderId="1" xfId="0" applyFont="1" applyFill="1" applyBorder="1"/>
    <xf numFmtId="0" fontId="31" fillId="16" borderId="1" xfId="0" applyFont="1" applyFill="1" applyBorder="1" applyAlignment="1">
      <alignment vertical="center"/>
    </xf>
    <xf numFmtId="0" fontId="26" fillId="23" borderId="1" xfId="0" applyNumberFormat="1" applyFont="1" applyFill="1" applyBorder="1" applyAlignment="1">
      <alignment horizontal="center" vertical="center" wrapText="1"/>
    </xf>
    <xf numFmtId="0" fontId="14" fillId="23" borderId="25" xfId="0" applyNumberFormat="1" applyFont="1" applyFill="1" applyBorder="1" applyAlignment="1">
      <alignment vertical="center" wrapText="1"/>
    </xf>
    <xf numFmtId="0" fontId="26" fillId="23" borderId="2" xfId="0" applyFont="1" applyFill="1" applyBorder="1" applyAlignment="1">
      <alignment vertical="center" wrapText="1"/>
    </xf>
    <xf numFmtId="0" fontId="31" fillId="23" borderId="1" xfId="0" applyFont="1" applyFill="1" applyBorder="1" applyAlignment="1">
      <alignment vertical="center"/>
    </xf>
    <xf numFmtId="1" fontId="26" fillId="23" borderId="2" xfId="0" applyNumberFormat="1" applyFont="1" applyFill="1" applyBorder="1" applyAlignment="1">
      <alignment horizontal="center" vertical="center"/>
    </xf>
    <xf numFmtId="0" fontId="26" fillId="23" borderId="2" xfId="0" applyFont="1" applyFill="1" applyBorder="1" applyAlignment="1">
      <alignment horizontal="center" vertical="center"/>
    </xf>
    <xf numFmtId="0" fontId="18" fillId="23" borderId="1" xfId="0" applyFont="1" applyFill="1" applyBorder="1" applyAlignment="1">
      <alignment vertical="center"/>
    </xf>
    <xf numFmtId="0" fontId="31" fillId="23" borderId="1" xfId="0" applyNumberFormat="1" applyFont="1" applyFill="1" applyBorder="1" applyAlignment="1">
      <alignment horizontal="left" vertical="center" wrapText="1"/>
    </xf>
    <xf numFmtId="0" fontId="10" fillId="2" borderId="1" xfId="0" applyFont="1" applyFill="1" applyBorder="1" applyAlignment="1">
      <alignment vertical="center"/>
    </xf>
    <xf numFmtId="2" fontId="14" fillId="0" borderId="7" xfId="0" applyNumberFormat="1" applyFont="1" applyFill="1" applyBorder="1" applyAlignment="1">
      <alignment horizontal="center" vertical="center"/>
    </xf>
    <xf numFmtId="2" fontId="14" fillId="16" borderId="7" xfId="0" applyNumberFormat="1" applyFont="1" applyFill="1" applyBorder="1" applyAlignment="1">
      <alignment horizontal="center" vertical="center"/>
    </xf>
    <xf numFmtId="2" fontId="14" fillId="2" borderId="7" xfId="0" applyNumberFormat="1" applyFont="1" applyFill="1" applyBorder="1" applyAlignment="1">
      <alignment horizontal="center" vertical="center"/>
    </xf>
    <xf numFmtId="2" fontId="14" fillId="0" borderId="7" xfId="0" applyNumberFormat="1" applyFont="1" applyFill="1" applyBorder="1" applyAlignment="1">
      <alignment horizontal="left" vertical="center"/>
    </xf>
    <xf numFmtId="2" fontId="14" fillId="2" borderId="7" xfId="0" applyNumberFormat="1" applyFont="1" applyFill="1" applyBorder="1" applyAlignment="1">
      <alignment horizontal="left" vertical="center"/>
    </xf>
    <xf numFmtId="2" fontId="14" fillId="23" borderId="7" xfId="0" applyNumberFormat="1" applyFont="1" applyFill="1" applyBorder="1" applyAlignment="1">
      <alignment horizontal="left" vertical="center"/>
    </xf>
    <xf numFmtId="2" fontId="14" fillId="16" borderId="7" xfId="0" applyNumberFormat="1" applyFont="1" applyFill="1" applyBorder="1" applyAlignment="1">
      <alignment horizontal="left" vertical="center"/>
    </xf>
    <xf numFmtId="49" fontId="14" fillId="0" borderId="33" xfId="0" applyNumberFormat="1" applyFont="1" applyFill="1" applyBorder="1" applyAlignment="1">
      <alignment horizontal="right" vertical="center" wrapText="1"/>
    </xf>
    <xf numFmtId="49" fontId="14" fillId="2" borderId="33" xfId="0" applyNumberFormat="1" applyFont="1" applyFill="1" applyBorder="1" applyAlignment="1">
      <alignment horizontal="right" vertical="center" wrapText="1"/>
    </xf>
    <xf numFmtId="49" fontId="14" fillId="16" borderId="33" xfId="0" applyNumberFormat="1" applyFont="1" applyFill="1" applyBorder="1" applyAlignment="1">
      <alignment horizontal="right" vertical="center" wrapText="1"/>
    </xf>
    <xf numFmtId="49" fontId="14" fillId="2" borderId="33" xfId="0" applyNumberFormat="1" applyFont="1" applyFill="1" applyBorder="1" applyAlignment="1">
      <alignment horizontal="center" vertical="center" wrapText="1"/>
    </xf>
    <xf numFmtId="49" fontId="14" fillId="23" borderId="33" xfId="0" applyNumberFormat="1"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0" fontId="14" fillId="0" borderId="21" xfId="0" applyFont="1" applyFill="1" applyBorder="1" applyAlignment="1">
      <alignment vertical="center"/>
    </xf>
    <xf numFmtId="1" fontId="14" fillId="2" borderId="8" xfId="0" applyNumberFormat="1" applyFont="1" applyFill="1" applyBorder="1" applyAlignment="1">
      <alignment horizontal="left" vertical="center" wrapText="1"/>
    </xf>
    <xf numFmtId="1" fontId="14" fillId="23" borderId="8" xfId="0" applyNumberFormat="1" applyFont="1" applyFill="1" applyBorder="1" applyAlignment="1">
      <alignment horizontal="left" vertical="center" wrapText="1"/>
    </xf>
    <xf numFmtId="0" fontId="14" fillId="0" borderId="9" xfId="0" applyFont="1" applyFill="1" applyBorder="1" applyAlignment="1">
      <alignment horizontal="left" vertical="center"/>
    </xf>
    <xf numFmtId="0" fontId="14" fillId="2" borderId="9" xfId="0" applyFont="1" applyFill="1" applyBorder="1" applyAlignment="1">
      <alignment horizontal="left" vertical="center"/>
    </xf>
    <xf numFmtId="0" fontId="14" fillId="16" borderId="9" xfId="0" applyFont="1" applyFill="1" applyBorder="1" applyAlignment="1">
      <alignment horizontal="left" vertical="center"/>
    </xf>
    <xf numFmtId="0" fontId="14" fillId="0" borderId="9" xfId="0" applyFont="1" applyBorder="1" applyAlignment="1">
      <alignment horizontal="left"/>
    </xf>
    <xf numFmtId="0" fontId="4" fillId="37" borderId="0" xfId="0" applyFont="1" applyFill="1"/>
    <xf numFmtId="0" fontId="4" fillId="37" borderId="1" xfId="0" applyNumberFormat="1" applyFont="1" applyFill="1" applyBorder="1" applyAlignment="1">
      <alignment horizontal="center" vertical="center"/>
    </xf>
    <xf numFmtId="0" fontId="4" fillId="37" borderId="1" xfId="0" applyNumberFormat="1" applyFont="1" applyFill="1" applyBorder="1" applyAlignment="1">
      <alignment horizontal="left" vertical="center" wrapText="1"/>
    </xf>
    <xf numFmtId="49" fontId="1" fillId="37" borderId="1" xfId="0" applyNumberFormat="1" applyFont="1" applyFill="1" applyBorder="1" applyAlignment="1">
      <alignment horizontal="center" vertical="center" wrapText="1"/>
    </xf>
    <xf numFmtId="2" fontId="4" fillId="37" borderId="1" xfId="0" applyNumberFormat="1" applyFont="1" applyFill="1" applyBorder="1" applyAlignment="1">
      <alignment horizontal="center" vertical="center"/>
    </xf>
    <xf numFmtId="2" fontId="4" fillId="37" borderId="1" xfId="0" applyNumberFormat="1" applyFont="1" applyFill="1" applyBorder="1" applyAlignment="1">
      <alignment horizontal="center" vertical="center" wrapText="1"/>
    </xf>
    <xf numFmtId="0" fontId="4" fillId="37" borderId="1" xfId="0" applyFont="1" applyFill="1" applyBorder="1" applyAlignment="1">
      <alignment horizontal="center" vertical="center" wrapText="1"/>
    </xf>
    <xf numFmtId="0" fontId="5" fillId="37" borderId="0" xfId="0" applyFont="1" applyFill="1"/>
    <xf numFmtId="0" fontId="32" fillId="5" borderId="0" xfId="0" applyFont="1" applyFill="1"/>
    <xf numFmtId="0" fontId="32" fillId="16" borderId="1" xfId="0" applyNumberFormat="1" applyFont="1" applyFill="1" applyBorder="1" applyAlignment="1">
      <alignment horizontal="center" vertical="center"/>
    </xf>
    <xf numFmtId="0" fontId="32" fillId="20" borderId="1" xfId="0" applyNumberFormat="1" applyFont="1" applyFill="1" applyBorder="1" applyAlignment="1">
      <alignment horizontal="left" vertical="center" wrapText="1"/>
    </xf>
    <xf numFmtId="49" fontId="33" fillId="2" borderId="1" xfId="0" applyNumberFormat="1" applyFont="1" applyFill="1" applyBorder="1" applyAlignment="1">
      <alignment horizontal="center" vertical="center" wrapText="1"/>
    </xf>
    <xf numFmtId="2" fontId="32" fillId="2" borderId="1" xfId="0" applyNumberFormat="1" applyFont="1" applyFill="1" applyBorder="1" applyAlignment="1">
      <alignment horizontal="center" vertical="center"/>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4" fillId="0" borderId="0" xfId="0" applyFont="1"/>
    <xf numFmtId="0" fontId="32" fillId="0" borderId="0" xfId="0" applyFont="1"/>
    <xf numFmtId="0" fontId="32" fillId="37" borderId="0" xfId="0" applyFont="1" applyFill="1"/>
    <xf numFmtId="0" fontId="32" fillId="37" borderId="1" xfId="0" applyNumberFormat="1" applyFont="1" applyFill="1" applyBorder="1" applyAlignment="1">
      <alignment horizontal="center" vertical="center"/>
    </xf>
    <xf numFmtId="0" fontId="32" fillId="37" borderId="1" xfId="0" applyNumberFormat="1" applyFont="1" applyFill="1" applyBorder="1" applyAlignment="1">
      <alignment horizontal="left" vertical="center" wrapText="1"/>
    </xf>
    <xf numFmtId="49" fontId="33" fillId="37" borderId="1" xfId="0" applyNumberFormat="1" applyFont="1" applyFill="1" applyBorder="1" applyAlignment="1">
      <alignment horizontal="center" vertical="center" wrapText="1"/>
    </xf>
    <xf numFmtId="2" fontId="32" fillId="37" borderId="1" xfId="0" applyNumberFormat="1" applyFont="1" applyFill="1" applyBorder="1" applyAlignment="1">
      <alignment horizontal="center" vertical="center"/>
    </xf>
    <xf numFmtId="2" fontId="32" fillId="37" borderId="1" xfId="0" applyNumberFormat="1" applyFont="1" applyFill="1" applyBorder="1" applyAlignment="1">
      <alignment horizontal="center" vertical="center" wrapText="1"/>
    </xf>
    <xf numFmtId="0" fontId="32" fillId="37" borderId="1" xfId="0" applyFont="1" applyFill="1" applyBorder="1" applyAlignment="1">
      <alignment horizontal="center" vertical="center" wrapText="1"/>
    </xf>
    <xf numFmtId="0" fontId="34" fillId="37" borderId="0" xfId="0" applyFont="1" applyFill="1"/>
    <xf numFmtId="0" fontId="32" fillId="2" borderId="0" xfId="0" applyFont="1" applyFill="1"/>
    <xf numFmtId="0" fontId="35" fillId="0" borderId="1" xfId="0" applyFont="1" applyBorder="1" applyAlignment="1">
      <alignment horizontal="center" vertical="center"/>
    </xf>
    <xf numFmtId="0" fontId="32" fillId="0" borderId="1" xfId="0" applyFont="1" applyBorder="1" applyAlignment="1">
      <alignment horizontal="center"/>
    </xf>
    <xf numFmtId="0" fontId="34" fillId="0" borderId="1" xfId="0" applyFont="1" applyBorder="1" applyAlignment="1">
      <alignment horizontal="center"/>
    </xf>
    <xf numFmtId="0" fontId="35" fillId="37" borderId="1" xfId="0" applyFont="1" applyFill="1" applyBorder="1" applyAlignment="1">
      <alignment horizontal="center" vertical="center"/>
    </xf>
    <xf numFmtId="0" fontId="32" fillId="37" borderId="1" xfId="0" applyFont="1" applyFill="1" applyBorder="1" applyAlignment="1">
      <alignment horizontal="center"/>
    </xf>
    <xf numFmtId="0" fontId="32" fillId="2" borderId="1" xfId="0" applyNumberFormat="1" applyFont="1" applyFill="1" applyBorder="1" applyAlignment="1">
      <alignment horizontal="left" vertical="center" wrapText="1"/>
    </xf>
    <xf numFmtId="0" fontId="34" fillId="2" borderId="0" xfId="0" applyFont="1" applyFill="1"/>
    <xf numFmtId="2" fontId="14" fillId="23" borderId="7" xfId="0" applyNumberFormat="1" applyFont="1" applyFill="1" applyBorder="1" applyAlignment="1">
      <alignment horizontal="center" vertical="center"/>
    </xf>
    <xf numFmtId="49" fontId="17" fillId="2" borderId="1" xfId="0" applyNumberFormat="1" applyFont="1" applyFill="1" applyBorder="1" applyAlignment="1">
      <alignment vertical="center" wrapText="1"/>
    </xf>
    <xf numFmtId="49" fontId="17" fillId="23" borderId="1" xfId="0" applyNumberFormat="1" applyFont="1" applyFill="1" applyBorder="1" applyAlignment="1">
      <alignment vertical="center" wrapText="1"/>
    </xf>
    <xf numFmtId="49" fontId="17" fillId="16" borderId="9" xfId="0" applyNumberFormat="1" applyFont="1" applyFill="1" applyBorder="1" applyAlignment="1">
      <alignment vertical="center" wrapText="1"/>
    </xf>
    <xf numFmtId="0" fontId="14" fillId="0" borderId="9" xfId="0" applyFont="1" applyBorder="1" applyAlignment="1">
      <alignment wrapText="1"/>
    </xf>
    <xf numFmtId="49" fontId="17" fillId="23" borderId="9" xfId="0" applyNumberFormat="1" applyFont="1" applyFill="1" applyBorder="1" applyAlignment="1">
      <alignment vertical="center" wrapText="1"/>
    </xf>
    <xf numFmtId="49" fontId="17" fillId="2" borderId="0" xfId="0" applyNumberFormat="1" applyFont="1" applyFill="1" applyBorder="1" applyAlignment="1">
      <alignment vertical="center" wrapText="1"/>
    </xf>
    <xf numFmtId="0" fontId="14" fillId="16" borderId="1" xfId="0" applyFont="1" applyFill="1" applyBorder="1" applyAlignment="1">
      <alignment wrapText="1"/>
    </xf>
    <xf numFmtId="49" fontId="17" fillId="17" borderId="1" xfId="0" applyNumberFormat="1" applyFont="1" applyFill="1" applyBorder="1" applyAlignment="1">
      <alignment vertical="center" wrapText="1"/>
    </xf>
    <xf numFmtId="0" fontId="26" fillId="16" borderId="1" xfId="0" applyNumberFormat="1" applyFont="1" applyFill="1" applyBorder="1" applyAlignment="1">
      <alignment horizontal="center" vertical="center"/>
    </xf>
    <xf numFmtId="0" fontId="26" fillId="13" borderId="1" xfId="0" applyNumberFormat="1" applyFont="1" applyFill="1" applyBorder="1" applyAlignment="1">
      <alignment horizontal="center" vertical="center"/>
    </xf>
    <xf numFmtId="0" fontId="26" fillId="23" borderId="1"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49" fontId="14" fillId="2" borderId="18" xfId="0" applyNumberFormat="1" applyFont="1" applyFill="1" applyBorder="1" applyAlignment="1">
      <alignment horizontal="left" vertical="center"/>
    </xf>
    <xf numFmtId="2" fontId="14" fillId="0" borderId="21" xfId="0" applyNumberFormat="1" applyFont="1" applyFill="1" applyBorder="1" applyAlignment="1">
      <alignment horizontal="center" vertical="center"/>
    </xf>
    <xf numFmtId="2" fontId="14" fillId="0" borderId="20" xfId="0" applyNumberFormat="1" applyFont="1" applyFill="1" applyBorder="1" applyAlignment="1">
      <alignment horizontal="center" vertical="center"/>
    </xf>
    <xf numFmtId="0" fontId="14" fillId="0" borderId="20" xfId="0" applyFont="1" applyFill="1" applyBorder="1" applyAlignment="1">
      <alignment horizontal="left" vertical="center"/>
    </xf>
    <xf numFmtId="49" fontId="14" fillId="23" borderId="18"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2" fontId="14" fillId="2" borderId="18" xfId="0" applyNumberFormat="1" applyFont="1" applyFill="1" applyBorder="1" applyAlignment="1">
      <alignment horizontal="left" vertical="center"/>
    </xf>
    <xf numFmtId="2" fontId="14" fillId="23" borderId="18" xfId="0" applyNumberFormat="1" applyFont="1" applyFill="1" applyBorder="1" applyAlignment="1">
      <alignment horizontal="left" vertical="center"/>
    </xf>
    <xf numFmtId="0" fontId="14" fillId="0" borderId="18" xfId="0" applyFont="1" applyBorder="1" applyAlignment="1">
      <alignment horizontal="left"/>
    </xf>
    <xf numFmtId="49" fontId="14" fillId="2" borderId="0" xfId="0" applyNumberFormat="1" applyFont="1" applyFill="1" applyBorder="1" applyAlignment="1">
      <alignment horizontal="left" vertical="center"/>
    </xf>
    <xf numFmtId="2" fontId="14" fillId="0" borderId="18" xfId="0" applyNumberFormat="1" applyFont="1" applyFill="1" applyBorder="1" applyAlignment="1">
      <alignment horizontal="left" vertical="center"/>
    </xf>
    <xf numFmtId="1" fontId="14" fillId="0" borderId="20" xfId="0" applyNumberFormat="1" applyFont="1" applyFill="1" applyBorder="1" applyAlignment="1">
      <alignment horizontal="left" vertical="center"/>
    </xf>
    <xf numFmtId="0" fontId="14" fillId="2" borderId="18" xfId="0" applyNumberFormat="1" applyFont="1" applyFill="1" applyBorder="1" applyAlignment="1">
      <alignment horizontal="left" vertical="center"/>
    </xf>
    <xf numFmtId="0" fontId="14" fillId="23" borderId="18" xfId="0" applyNumberFormat="1" applyFont="1" applyFill="1" applyBorder="1" applyAlignment="1">
      <alignment horizontal="left" vertical="center"/>
    </xf>
    <xf numFmtId="0" fontId="14" fillId="16" borderId="18" xfId="0" applyNumberFormat="1" applyFont="1" applyFill="1" applyBorder="1" applyAlignment="1">
      <alignment horizontal="left" vertical="center"/>
    </xf>
    <xf numFmtId="2" fontId="14" fillId="16" borderId="18" xfId="0" applyNumberFormat="1" applyFont="1" applyFill="1" applyBorder="1" applyAlignment="1">
      <alignment horizontal="left" vertical="center"/>
    </xf>
    <xf numFmtId="49" fontId="14" fillId="16" borderId="0" xfId="0" applyNumberFormat="1" applyFont="1" applyFill="1" applyBorder="1" applyAlignment="1">
      <alignment horizontal="left" vertical="center"/>
    </xf>
    <xf numFmtId="49" fontId="19" fillId="2" borderId="18" xfId="0" applyNumberFormat="1" applyFont="1" applyFill="1" applyBorder="1" applyAlignment="1">
      <alignment horizontal="left" vertical="center"/>
    </xf>
    <xf numFmtId="0" fontId="26" fillId="17" borderId="2" xfId="0" applyFont="1" applyFill="1" applyBorder="1" applyAlignment="1">
      <alignment vertical="center" wrapText="1"/>
    </xf>
    <xf numFmtId="0" fontId="31" fillId="17" borderId="1" xfId="0" applyFont="1" applyFill="1" applyBorder="1" applyAlignment="1">
      <alignment vertical="center"/>
    </xf>
    <xf numFmtId="49" fontId="14" fillId="23" borderId="1" xfId="0" applyNumberFormat="1" applyFont="1" applyFill="1" applyBorder="1" applyAlignment="1">
      <alignment vertical="center"/>
    </xf>
    <xf numFmtId="2" fontId="14" fillId="23" borderId="21" xfId="0" applyNumberFormat="1" applyFont="1" applyFill="1" applyBorder="1" applyAlignment="1">
      <alignment horizontal="center" vertical="center"/>
    </xf>
    <xf numFmtId="1" fontId="14" fillId="23" borderId="20" xfId="0" applyNumberFormat="1" applyFont="1" applyFill="1" applyBorder="1" applyAlignment="1">
      <alignment horizontal="left" vertical="center"/>
    </xf>
    <xf numFmtId="49" fontId="14" fillId="23" borderId="21" xfId="0" applyNumberFormat="1" applyFont="1" applyFill="1" applyBorder="1" applyAlignment="1">
      <alignment horizontal="right" vertical="center" wrapText="1"/>
    </xf>
    <xf numFmtId="1" fontId="14" fillId="23" borderId="9" xfId="0" applyNumberFormat="1" applyFont="1" applyFill="1" applyBorder="1" applyAlignment="1">
      <alignment horizontal="left" vertical="center" wrapText="1"/>
    </xf>
    <xf numFmtId="2" fontId="24" fillId="17" borderId="7" xfId="0" applyNumberFormat="1" applyFont="1" applyFill="1" applyBorder="1" applyAlignment="1">
      <alignment horizontal="left" vertical="center"/>
    </xf>
    <xf numFmtId="2" fontId="14" fillId="2" borderId="21" xfId="0" applyNumberFormat="1" applyFont="1" applyFill="1" applyBorder="1" applyAlignment="1">
      <alignment horizontal="center" vertical="center"/>
    </xf>
    <xf numFmtId="2" fontId="14" fillId="2" borderId="20" xfId="0" applyNumberFormat="1" applyFont="1" applyFill="1" applyBorder="1" applyAlignment="1">
      <alignment horizontal="center" vertical="center"/>
    </xf>
    <xf numFmtId="1" fontId="14" fillId="2" borderId="1" xfId="0" applyNumberFormat="1" applyFont="1" applyFill="1" applyBorder="1" applyAlignment="1">
      <alignment horizontal="right" vertical="center"/>
    </xf>
    <xf numFmtId="2" fontId="14" fillId="2" borderId="32" xfId="0" applyNumberFormat="1" applyFont="1" applyFill="1" applyBorder="1" applyAlignment="1">
      <alignment horizontal="left" vertical="center"/>
    </xf>
    <xf numFmtId="1" fontId="14" fillId="17" borderId="1" xfId="0" applyNumberFormat="1" applyFont="1" applyFill="1" applyBorder="1" applyAlignment="1">
      <alignment horizontal="right" vertical="center"/>
    </xf>
    <xf numFmtId="49" fontId="14" fillId="23" borderId="0" xfId="0" applyNumberFormat="1" applyFont="1" applyFill="1" applyBorder="1" applyAlignment="1">
      <alignment horizontal="left" vertical="center"/>
    </xf>
    <xf numFmtId="0" fontId="14" fillId="23" borderId="0" xfId="0" applyNumberFormat="1" applyFont="1" applyFill="1" applyBorder="1" applyAlignment="1">
      <alignment horizontal="center" vertical="center" wrapText="1"/>
    </xf>
    <xf numFmtId="0" fontId="26" fillId="16" borderId="1" xfId="0" applyFont="1" applyFill="1" applyBorder="1" applyAlignment="1">
      <alignment vertical="center" wrapText="1"/>
    </xf>
    <xf numFmtId="1" fontId="26" fillId="16" borderId="1" xfId="0" applyNumberFormat="1" applyFont="1" applyFill="1" applyBorder="1" applyAlignment="1">
      <alignment horizontal="center" vertical="center"/>
    </xf>
    <xf numFmtId="0" fontId="14" fillId="16" borderId="0" xfId="0" applyNumberFormat="1" applyFont="1" applyFill="1" applyBorder="1" applyAlignment="1">
      <alignment horizontal="left" vertical="center" wrapText="1"/>
    </xf>
    <xf numFmtId="49" fontId="14" fillId="23" borderId="0" xfId="0" applyNumberFormat="1" applyFont="1" applyFill="1" applyBorder="1" applyAlignment="1">
      <alignment horizontal="right" vertical="center"/>
    </xf>
    <xf numFmtId="0" fontId="15" fillId="0" borderId="0" xfId="0" applyFont="1" applyBorder="1"/>
    <xf numFmtId="1" fontId="14" fillId="0" borderId="20" xfId="0" applyNumberFormat="1" applyFont="1" applyFill="1" applyBorder="1" applyAlignment="1">
      <alignment vertical="center"/>
    </xf>
    <xf numFmtId="0" fontId="26" fillId="0" borderId="1" xfId="0" applyNumberFormat="1" applyFont="1" applyFill="1" applyBorder="1" applyAlignment="1">
      <alignment horizontal="center" vertical="center" wrapText="1"/>
    </xf>
    <xf numFmtId="1" fontId="14" fillId="0" borderId="7" xfId="0" applyNumberFormat="1" applyFont="1" applyFill="1" applyBorder="1" applyAlignment="1">
      <alignment horizontal="left" vertical="center"/>
    </xf>
    <xf numFmtId="0" fontId="13" fillId="2" borderId="0" xfId="0" applyNumberFormat="1" applyFont="1" applyFill="1" applyBorder="1" applyAlignment="1">
      <alignment horizontal="center" vertical="center" wrapText="1"/>
    </xf>
    <xf numFmtId="0" fontId="24" fillId="2" borderId="1" xfId="0" applyNumberFormat="1" applyFont="1" applyFill="1" applyBorder="1" applyAlignment="1">
      <alignment horizontal="left" vertical="center" wrapText="1"/>
    </xf>
    <xf numFmtId="0" fontId="14" fillId="39" borderId="32" xfId="0" applyFont="1" applyFill="1" applyBorder="1" applyAlignment="1">
      <alignment vertical="center"/>
    </xf>
    <xf numFmtId="0" fontId="14" fillId="23" borderId="0" xfId="0" applyNumberFormat="1" applyFont="1" applyFill="1" applyBorder="1" applyAlignment="1">
      <alignment horizontal="left" vertical="center" wrapText="1"/>
    </xf>
    <xf numFmtId="0" fontId="14" fillId="39" borderId="7" xfId="0" applyFont="1" applyFill="1" applyBorder="1" applyAlignment="1">
      <alignment vertical="center"/>
    </xf>
    <xf numFmtId="1" fontId="14" fillId="23" borderId="8" xfId="0" applyNumberFormat="1" applyFont="1" applyFill="1" applyBorder="1" applyAlignment="1">
      <alignment horizontal="right" vertical="center"/>
    </xf>
    <xf numFmtId="0" fontId="14" fillId="39" borderId="18" xfId="0" applyFont="1" applyFill="1" applyBorder="1" applyAlignment="1">
      <alignment vertical="center"/>
    </xf>
    <xf numFmtId="0" fontId="24" fillId="2" borderId="20" xfId="0" applyNumberFormat="1" applyFont="1" applyFill="1" applyBorder="1" applyAlignment="1">
      <alignment horizontal="left" vertical="center" wrapText="1"/>
    </xf>
    <xf numFmtId="2" fontId="14" fillId="16" borderId="21" xfId="0" applyNumberFormat="1" applyFont="1" applyFill="1" applyBorder="1" applyAlignment="1">
      <alignment horizontal="center" vertical="center"/>
    </xf>
    <xf numFmtId="2" fontId="14" fillId="0" borderId="0" xfId="0" applyNumberFormat="1" applyFont="1" applyFill="1" applyBorder="1" applyAlignment="1">
      <alignment horizontal="left" vertical="center"/>
    </xf>
    <xf numFmtId="2" fontId="14" fillId="2" borderId="0" xfId="0" applyNumberFormat="1" applyFont="1" applyFill="1" applyBorder="1" applyAlignment="1">
      <alignment horizontal="center" vertical="center"/>
    </xf>
    <xf numFmtId="2" fontId="14" fillId="2" borderId="0" xfId="0" applyNumberFormat="1" applyFont="1" applyFill="1" applyBorder="1" applyAlignment="1">
      <alignment vertical="center"/>
    </xf>
    <xf numFmtId="2" fontId="14" fillId="2" borderId="0" xfId="0" applyNumberFormat="1" applyFont="1" applyFill="1" applyBorder="1" applyAlignment="1">
      <alignment horizontal="left" vertical="center"/>
    </xf>
    <xf numFmtId="1" fontId="14" fillId="2" borderId="0" xfId="0" applyNumberFormat="1" applyFont="1" applyFill="1" applyBorder="1" applyAlignment="1">
      <alignment horizontal="right" vertical="center" wrapText="1"/>
    </xf>
    <xf numFmtId="1" fontId="14"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xf>
    <xf numFmtId="1" fontId="13" fillId="2" borderId="0" xfId="0" applyNumberFormat="1" applyFont="1" applyFill="1" applyBorder="1" applyAlignment="1">
      <alignment horizontal="right" vertical="center"/>
    </xf>
    <xf numFmtId="1" fontId="13" fillId="2" borderId="0" xfId="0" applyNumberFormat="1" applyFont="1" applyFill="1" applyBorder="1" applyAlignment="1">
      <alignment horizontal="center" vertical="center"/>
    </xf>
    <xf numFmtId="1" fontId="14" fillId="2" borderId="0" xfId="0" applyNumberFormat="1" applyFont="1" applyFill="1" applyBorder="1" applyAlignment="1">
      <alignment horizontal="right" vertical="center"/>
    </xf>
    <xf numFmtId="49" fontId="14" fillId="2" borderId="0" xfId="0" applyNumberFormat="1" applyFont="1" applyFill="1" applyBorder="1" applyAlignment="1">
      <alignment horizontal="righ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16" borderId="1"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vertical="center"/>
    </xf>
    <xf numFmtId="0" fontId="14" fillId="16" borderId="0" xfId="0" applyNumberFormat="1" applyFont="1" applyFill="1" applyBorder="1" applyAlignment="1">
      <alignment vertical="center" wrapText="1"/>
    </xf>
    <xf numFmtId="0" fontId="26" fillId="16" borderId="0" xfId="0" applyFont="1" applyFill="1" applyBorder="1" applyAlignment="1">
      <alignment vertical="center" wrapText="1"/>
    </xf>
    <xf numFmtId="0" fontId="31" fillId="0" borderId="0" xfId="0" applyFont="1" applyFill="1" applyBorder="1" applyAlignment="1">
      <alignment vertical="center"/>
    </xf>
    <xf numFmtId="2" fontId="14" fillId="0" borderId="0" xfId="0" applyNumberFormat="1" applyFont="1" applyFill="1" applyBorder="1" applyAlignment="1">
      <alignment horizontal="center" vertical="center"/>
    </xf>
    <xf numFmtId="2" fontId="12" fillId="0" borderId="7" xfId="0" applyNumberFormat="1" applyFont="1" applyFill="1" applyBorder="1" applyAlignment="1">
      <alignment vertical="center"/>
    </xf>
    <xf numFmtId="1" fontId="14" fillId="0" borderId="0" xfId="0" applyNumberFormat="1" applyFont="1" applyFill="1" applyBorder="1" applyAlignment="1">
      <alignment horizontal="left" vertical="center"/>
    </xf>
    <xf numFmtId="2" fontId="12" fillId="0" borderId="14" xfId="0" applyNumberFormat="1" applyFont="1" applyFill="1" applyBorder="1" applyAlignment="1">
      <alignment vertical="center"/>
    </xf>
    <xf numFmtId="2" fontId="12" fillId="0" borderId="13" xfId="0" applyNumberFormat="1" applyFont="1" applyFill="1" applyBorder="1" applyAlignment="1">
      <alignment vertical="center"/>
    </xf>
    <xf numFmtId="1" fontId="14" fillId="2" borderId="0" xfId="0" applyNumberFormat="1" applyFont="1" applyFill="1" applyBorder="1" applyAlignment="1">
      <alignment horizontal="left" vertical="center"/>
    </xf>
    <xf numFmtId="2" fontId="12" fillId="0" borderId="1" xfId="0" applyNumberFormat="1" applyFont="1" applyBorder="1" applyAlignment="1">
      <alignment horizontal="center" vertical="center"/>
    </xf>
    <xf numFmtId="2" fontId="12" fillId="0" borderId="7" xfId="0" applyNumberFormat="1" applyFont="1" applyBorder="1" applyAlignment="1">
      <alignment horizontal="center" vertical="center"/>
    </xf>
    <xf numFmtId="49" fontId="10" fillId="2" borderId="21" xfId="0" applyNumberFormat="1" applyFont="1" applyFill="1" applyBorder="1" applyAlignment="1">
      <alignment horizontal="right" vertical="center"/>
    </xf>
    <xf numFmtId="49" fontId="14" fillId="0" borderId="0" xfId="0" applyNumberFormat="1" applyFont="1" applyFill="1" applyBorder="1" applyAlignment="1">
      <alignment horizontal="left" vertical="center"/>
    </xf>
    <xf numFmtId="49" fontId="10" fillId="2" borderId="18" xfId="0" applyNumberFormat="1" applyFont="1" applyFill="1" applyBorder="1" applyAlignment="1">
      <alignment vertical="center"/>
    </xf>
    <xf numFmtId="0" fontId="10" fillId="0" borderId="9" xfId="0" applyNumberFormat="1" applyFont="1" applyBorder="1" applyAlignment="1">
      <alignment vertical="center"/>
    </xf>
    <xf numFmtId="0" fontId="25" fillId="13" borderId="1" xfId="0" applyNumberFormat="1" applyFont="1" applyFill="1" applyBorder="1" applyAlignment="1">
      <alignment horizontal="center" vertical="center"/>
    </xf>
    <xf numFmtId="0" fontId="26" fillId="13" borderId="0"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wrapText="1"/>
    </xf>
    <xf numFmtId="1" fontId="26" fillId="16" borderId="0" xfId="0" applyNumberFormat="1" applyFont="1" applyFill="1" applyBorder="1" applyAlignment="1">
      <alignment horizontal="center" vertical="center"/>
    </xf>
    <xf numFmtId="2" fontId="14" fillId="23" borderId="0" xfId="0" applyNumberFormat="1" applyFont="1" applyFill="1" applyBorder="1" applyAlignment="1">
      <alignment horizontal="center" vertical="center"/>
    </xf>
    <xf numFmtId="0" fontId="14" fillId="2" borderId="0" xfId="0" applyFont="1" applyFill="1" applyBorder="1" applyAlignment="1">
      <alignment horizontal="center" vertical="center"/>
    </xf>
    <xf numFmtId="0" fontId="10" fillId="2" borderId="14" xfId="0" applyFont="1" applyFill="1" applyBorder="1" applyAlignment="1">
      <alignment horizontal="left" vertical="center"/>
    </xf>
    <xf numFmtId="0" fontId="21" fillId="4" borderId="1" xfId="0" applyNumberFormat="1" applyFont="1" applyFill="1" applyBorder="1" applyAlignment="1">
      <alignment horizontal="center" vertical="center"/>
    </xf>
    <xf numFmtId="0" fontId="22" fillId="4" borderId="0" xfId="0" applyNumberFormat="1" applyFont="1" applyFill="1" applyBorder="1" applyAlignment="1">
      <alignment horizontal="center" vertical="center"/>
    </xf>
    <xf numFmtId="0" fontId="26" fillId="16" borderId="0" xfId="0" applyFont="1" applyFill="1" applyBorder="1" applyAlignment="1">
      <alignment horizontal="center" vertical="center"/>
    </xf>
    <xf numFmtId="0" fontId="10" fillId="0" borderId="1" xfId="0" applyFont="1" applyBorder="1" applyAlignment="1">
      <alignment horizontal="center" vertical="center"/>
    </xf>
    <xf numFmtId="0" fontId="10" fillId="33" borderId="1" xfId="0" applyNumberFormat="1" applyFont="1" applyFill="1" applyBorder="1" applyAlignment="1">
      <alignment vertical="center" wrapText="1"/>
    </xf>
    <xf numFmtId="0" fontId="14" fillId="33" borderId="0" xfId="0" applyNumberFormat="1" applyFont="1" applyFill="1" applyBorder="1" applyAlignment="1">
      <alignment horizontal="left" vertical="center" wrapText="1"/>
    </xf>
    <xf numFmtId="0" fontId="10" fillId="0" borderId="1" xfId="0" applyFont="1" applyBorder="1" applyAlignment="1">
      <alignment vertical="center"/>
    </xf>
    <xf numFmtId="1" fontId="10" fillId="0" borderId="14" xfId="0" applyNumberFormat="1" applyFont="1" applyBorder="1" applyAlignment="1">
      <alignment vertical="center"/>
    </xf>
    <xf numFmtId="0" fontId="10" fillId="0" borderId="15" xfId="0" applyFont="1" applyBorder="1" applyAlignment="1">
      <alignment horizontal="center" vertical="center"/>
    </xf>
    <xf numFmtId="0" fontId="10" fillId="0" borderId="14" xfId="0" applyFont="1" applyBorder="1" applyAlignment="1">
      <alignment vertical="center"/>
    </xf>
    <xf numFmtId="0" fontId="10" fillId="0" borderId="13" xfId="0" applyFont="1" applyBorder="1" applyAlignment="1">
      <alignment vertical="center"/>
    </xf>
    <xf numFmtId="2" fontId="9" fillId="2" borderId="0" xfId="0" applyNumberFormat="1" applyFont="1" applyFill="1" applyBorder="1" applyAlignment="1">
      <alignment horizontal="center" vertical="center"/>
    </xf>
    <xf numFmtId="1" fontId="13" fillId="2" borderId="19" xfId="0" applyNumberFormat="1" applyFont="1" applyFill="1" applyBorder="1" applyAlignment="1">
      <alignment horizontal="center" vertical="center" wrapText="1"/>
    </xf>
    <xf numFmtId="1" fontId="13" fillId="2" borderId="23" xfId="0"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3" xfId="0" applyFont="1" applyFill="1" applyBorder="1" applyAlignment="1">
      <alignment vertical="center"/>
    </xf>
    <xf numFmtId="0" fontId="10" fillId="2" borderId="9" xfId="0" applyFont="1" applyFill="1" applyBorder="1" applyAlignment="1">
      <alignment vertical="center"/>
    </xf>
    <xf numFmtId="0" fontId="14" fillId="2" borderId="0" xfId="0" applyNumberFormat="1" applyFont="1" applyFill="1" applyBorder="1" applyAlignment="1">
      <alignment vertical="center"/>
    </xf>
    <xf numFmtId="49" fontId="10" fillId="0" borderId="18" xfId="0" applyNumberFormat="1" applyFont="1" applyBorder="1" applyAlignment="1">
      <alignment vertical="center"/>
    </xf>
    <xf numFmtId="0" fontId="10" fillId="0" borderId="20" xfId="0" applyNumberFormat="1" applyFont="1" applyBorder="1" applyAlignment="1">
      <alignment horizontal="right" vertical="center"/>
    </xf>
    <xf numFmtId="0" fontId="10" fillId="0" borderId="18" xfId="0" applyNumberFormat="1" applyFont="1" applyBorder="1" applyAlignment="1">
      <alignment horizontal="center" vertical="center"/>
    </xf>
    <xf numFmtId="0" fontId="10" fillId="0" borderId="32" xfId="0" applyNumberFormat="1" applyFont="1" applyBorder="1" applyAlignment="1">
      <alignment vertical="center"/>
    </xf>
    <xf numFmtId="0" fontId="10" fillId="0" borderId="8" xfId="0" applyFont="1" applyBorder="1" applyAlignment="1">
      <alignment vertical="center"/>
    </xf>
    <xf numFmtId="49" fontId="14" fillId="2" borderId="1" xfId="0" applyNumberFormat="1" applyFont="1" applyFill="1" applyBorder="1" applyAlignment="1">
      <alignment horizontal="left" vertical="center" wrapText="1"/>
    </xf>
    <xf numFmtId="0" fontId="23" fillId="16" borderId="1" xfId="0" applyNumberFormat="1" applyFont="1" applyFill="1" applyBorder="1" applyAlignment="1">
      <alignment horizontal="left" vertical="center" wrapText="1"/>
    </xf>
    <xf numFmtId="49" fontId="14" fillId="16" borderId="1" xfId="0" applyNumberFormat="1" applyFont="1" applyFill="1" applyBorder="1" applyAlignment="1">
      <alignment horizontal="center" vertical="center" wrapText="1"/>
    </xf>
    <xf numFmtId="49" fontId="14" fillId="23" borderId="1" xfId="0" applyNumberFormat="1" applyFont="1" applyFill="1" applyBorder="1" applyAlignment="1">
      <alignment horizontal="center" vertical="center" wrapText="1"/>
    </xf>
    <xf numFmtId="49" fontId="14" fillId="23" borderId="1" xfId="0" applyNumberFormat="1" applyFont="1" applyFill="1" applyBorder="1" applyAlignment="1">
      <alignment horizontal="left" vertical="center" wrapText="1"/>
    </xf>
    <xf numFmtId="0" fontId="23" fillId="23" borderId="1" xfId="0" applyNumberFormat="1" applyFont="1" applyFill="1" applyBorder="1" applyAlignment="1">
      <alignment horizontal="left" vertical="center" wrapText="1"/>
    </xf>
    <xf numFmtId="49" fontId="14" fillId="17" borderId="1" xfId="0" applyNumberFormat="1" applyFont="1" applyFill="1" applyBorder="1" applyAlignment="1">
      <alignment horizontal="center" vertical="center" wrapText="1"/>
    </xf>
    <xf numFmtId="49" fontId="14" fillId="17" borderId="1" xfId="0" applyNumberFormat="1" applyFont="1" applyFill="1" applyBorder="1" applyAlignment="1">
      <alignment horizontal="left" vertical="center" wrapText="1"/>
    </xf>
    <xf numFmtId="0" fontId="14" fillId="38" borderId="1" xfId="0" applyNumberFormat="1" applyFont="1" applyFill="1" applyBorder="1" applyAlignment="1">
      <alignment vertical="center" wrapText="1"/>
    </xf>
    <xf numFmtId="0" fontId="14" fillId="2" borderId="12" xfId="0" applyNumberFormat="1" applyFont="1" applyFill="1" applyBorder="1" applyAlignment="1">
      <alignment horizontal="left" vertical="center" wrapText="1"/>
    </xf>
    <xf numFmtId="0" fontId="14" fillId="2" borderId="12" xfId="0" applyNumberFormat="1" applyFont="1" applyFill="1" applyBorder="1" applyAlignment="1">
      <alignment horizontal="left" vertical="center"/>
    </xf>
    <xf numFmtId="0" fontId="14" fillId="16" borderId="12" xfId="0" applyNumberFormat="1" applyFont="1" applyFill="1" applyBorder="1" applyAlignment="1">
      <alignment horizontal="left" vertical="center" wrapText="1"/>
    </xf>
    <xf numFmtId="0" fontId="14" fillId="23" borderId="12" xfId="0" applyNumberFormat="1" applyFont="1" applyFill="1" applyBorder="1" applyAlignment="1">
      <alignment horizontal="left" vertical="center"/>
    </xf>
    <xf numFmtId="0" fontId="14" fillId="39" borderId="1" xfId="0" applyNumberFormat="1" applyFont="1" applyFill="1" applyBorder="1" applyAlignment="1">
      <alignment vertical="center" wrapText="1"/>
    </xf>
    <xf numFmtId="0" fontId="14" fillId="2" borderId="8" xfId="0" applyNumberFormat="1" applyFont="1" applyFill="1" applyBorder="1" applyAlignment="1">
      <alignment horizontal="right" vertical="center"/>
    </xf>
    <xf numFmtId="0" fontId="14" fillId="16" borderId="1" xfId="0" applyNumberFormat="1" applyFont="1" applyFill="1" applyBorder="1" applyAlignment="1">
      <alignment horizontal="center" vertical="center" wrapText="1"/>
    </xf>
    <xf numFmtId="0" fontId="14" fillId="16" borderId="1" xfId="0" applyNumberFormat="1" applyFont="1" applyFill="1" applyBorder="1" applyAlignment="1">
      <alignment horizontal="left" vertical="center" wrapText="1"/>
    </xf>
    <xf numFmtId="0" fontId="14" fillId="16" borderId="13" xfId="0" applyNumberFormat="1" applyFont="1" applyFill="1" applyBorder="1" applyAlignment="1">
      <alignment horizontal="center" vertical="center" wrapText="1"/>
    </xf>
    <xf numFmtId="1" fontId="14" fillId="16" borderId="1" xfId="0" applyNumberFormat="1" applyFont="1" applyFill="1" applyBorder="1" applyAlignment="1">
      <alignment horizontal="center" vertical="center"/>
    </xf>
    <xf numFmtId="2" fontId="14" fillId="16" borderId="1" xfId="0" applyNumberFormat="1" applyFont="1" applyFill="1" applyBorder="1" applyAlignment="1">
      <alignment horizontal="center" vertical="center"/>
    </xf>
    <xf numFmtId="49" fontId="14" fillId="16" borderId="21" xfId="0" applyNumberFormat="1" applyFont="1" applyFill="1" applyBorder="1" applyAlignment="1">
      <alignment horizontal="right" vertical="center"/>
    </xf>
    <xf numFmtId="49" fontId="14" fillId="16" borderId="18" xfId="0" applyNumberFormat="1" applyFont="1" applyFill="1" applyBorder="1" applyAlignment="1">
      <alignment horizontal="center" vertical="center"/>
    </xf>
    <xf numFmtId="1" fontId="14" fillId="16" borderId="1" xfId="0" applyNumberFormat="1" applyFont="1" applyFill="1" applyBorder="1" applyAlignment="1">
      <alignment horizontal="center" vertical="center" wrapText="1"/>
    </xf>
    <xf numFmtId="0" fontId="13" fillId="16" borderId="14" xfId="0" applyFont="1" applyFill="1" applyBorder="1" applyAlignment="1">
      <alignment horizontal="center" vertical="center"/>
    </xf>
    <xf numFmtId="0" fontId="14" fillId="16" borderId="1" xfId="0" applyFont="1" applyFill="1" applyBorder="1" applyAlignment="1">
      <alignment horizontal="center" vertical="center"/>
    </xf>
    <xf numFmtId="1" fontId="14" fillId="16" borderId="8" xfId="0" applyNumberFormat="1" applyFont="1" applyFill="1" applyBorder="1" applyAlignment="1">
      <alignment horizontal="right" vertical="center" wrapText="1"/>
    </xf>
    <xf numFmtId="1" fontId="14" fillId="16" borderId="7" xfId="0" applyNumberFormat="1" applyFont="1" applyFill="1" applyBorder="1" applyAlignment="1">
      <alignment horizontal="right" vertical="center" wrapText="1"/>
    </xf>
    <xf numFmtId="0" fontId="13" fillId="16" borderId="1" xfId="0" applyNumberFormat="1" applyFont="1" applyFill="1" applyBorder="1" applyAlignment="1">
      <alignment horizontal="center" vertical="center" wrapText="1"/>
    </xf>
    <xf numFmtId="1" fontId="14" fillId="16" borderId="7" xfId="0" applyNumberFormat="1" applyFont="1" applyFill="1" applyBorder="1" applyAlignment="1">
      <alignment horizontal="center" vertical="center"/>
    </xf>
    <xf numFmtId="0" fontId="14" fillId="16" borderId="1" xfId="0" applyFont="1" applyFill="1" applyBorder="1" applyAlignment="1">
      <alignment vertical="center"/>
    </xf>
    <xf numFmtId="0" fontId="14" fillId="16" borderId="1" xfId="0" applyNumberFormat="1" applyFont="1" applyFill="1" applyBorder="1" applyAlignment="1">
      <alignment horizontal="center" vertical="center"/>
    </xf>
    <xf numFmtId="0" fontId="14" fillId="16" borderId="14" xfId="0" applyNumberFormat="1" applyFont="1" applyFill="1" applyBorder="1" applyAlignment="1">
      <alignment horizontal="center" vertical="center"/>
    </xf>
    <xf numFmtId="0" fontId="14" fillId="16" borderId="15" xfId="0" applyNumberFormat="1" applyFont="1" applyFill="1" applyBorder="1" applyAlignment="1">
      <alignment horizontal="center" vertical="center" wrapText="1"/>
    </xf>
    <xf numFmtId="0" fontId="14" fillId="16" borderId="13" xfId="0" applyNumberFormat="1" applyFont="1" applyFill="1" applyBorder="1" applyAlignment="1">
      <alignment horizontal="center" vertical="center"/>
    </xf>
    <xf numFmtId="1" fontId="13" fillId="16" borderId="7" xfId="0" applyNumberFormat="1" applyFont="1" applyFill="1" applyBorder="1" applyAlignment="1">
      <alignment horizontal="right" vertical="center"/>
    </xf>
    <xf numFmtId="0" fontId="14" fillId="16" borderId="14" xfId="0" applyFont="1" applyFill="1" applyBorder="1" applyAlignment="1">
      <alignment vertical="center"/>
    </xf>
    <xf numFmtId="0" fontId="14" fillId="16" borderId="13" xfId="0" applyFont="1" applyFill="1" applyBorder="1" applyAlignment="1">
      <alignment vertical="center"/>
    </xf>
    <xf numFmtId="1" fontId="13" fillId="16" borderId="8" xfId="0" applyNumberFormat="1" applyFont="1" applyFill="1" applyBorder="1" applyAlignment="1">
      <alignment horizontal="center" vertical="center"/>
    </xf>
    <xf numFmtId="1" fontId="13" fillId="16" borderId="24" xfId="0" applyNumberFormat="1" applyFont="1" applyFill="1" applyBorder="1" applyAlignment="1">
      <alignment horizontal="center" vertical="center" wrapText="1"/>
    </xf>
    <xf numFmtId="0" fontId="14" fillId="16" borderId="9" xfId="0" applyNumberFormat="1" applyFont="1" applyFill="1" applyBorder="1" applyAlignment="1">
      <alignment horizontal="center" vertical="center"/>
    </xf>
    <xf numFmtId="0" fontId="14" fillId="16" borderId="1" xfId="0" applyNumberFormat="1" applyFont="1" applyFill="1" applyBorder="1" applyAlignment="1">
      <alignment horizontal="left" vertical="center"/>
    </xf>
    <xf numFmtId="0" fontId="14" fillId="16" borderId="1" xfId="0" applyNumberFormat="1" applyFont="1" applyFill="1" applyBorder="1" applyAlignment="1">
      <alignment vertical="center"/>
    </xf>
    <xf numFmtId="0" fontId="14" fillId="16" borderId="9" xfId="0" applyNumberFormat="1" applyFont="1" applyFill="1" applyBorder="1" applyAlignment="1">
      <alignment horizontal="left" vertical="center" wrapText="1"/>
    </xf>
    <xf numFmtId="0" fontId="14" fillId="16" borderId="20" xfId="0" applyNumberFormat="1" applyFont="1" applyFill="1" applyBorder="1" applyAlignment="1">
      <alignment horizontal="right" vertical="center" wrapText="1"/>
    </xf>
    <xf numFmtId="0" fontId="14" fillId="16" borderId="32" xfId="0" applyNumberFormat="1" applyFont="1" applyFill="1" applyBorder="1" applyAlignment="1">
      <alignment horizontal="center" vertical="center" wrapText="1"/>
    </xf>
    <xf numFmtId="1" fontId="13" fillId="16" borderId="1" xfId="0" applyNumberFormat="1" applyFont="1" applyFill="1" applyBorder="1" applyAlignment="1">
      <alignment horizontal="center" vertical="center"/>
    </xf>
    <xf numFmtId="0" fontId="14" fillId="16" borderId="8" xfId="0" applyFont="1" applyFill="1" applyBorder="1" applyAlignment="1">
      <alignment vertical="center"/>
    </xf>
    <xf numFmtId="0" fontId="14" fillId="16" borderId="20" xfId="0" applyNumberFormat="1" applyFont="1" applyFill="1" applyBorder="1" applyAlignment="1">
      <alignment horizontal="left" vertical="center" wrapText="1"/>
    </xf>
    <xf numFmtId="0" fontId="14" fillId="16" borderId="8" xfId="0" applyNumberFormat="1" applyFont="1" applyFill="1" applyBorder="1" applyAlignment="1">
      <alignment horizontal="center" vertical="center" wrapText="1"/>
    </xf>
    <xf numFmtId="49" fontId="14" fillId="16" borderId="9" xfId="0" applyNumberFormat="1" applyFont="1" applyFill="1" applyBorder="1" applyAlignment="1">
      <alignment vertical="center"/>
    </xf>
    <xf numFmtId="49" fontId="14" fillId="16" borderId="0" xfId="0" applyNumberFormat="1" applyFont="1" applyFill="1" applyBorder="1" applyAlignment="1">
      <alignment horizontal="center" vertical="center"/>
    </xf>
    <xf numFmtId="2" fontId="13" fillId="16" borderId="1" xfId="0" applyNumberFormat="1" applyFont="1" applyFill="1" applyBorder="1" applyAlignment="1">
      <alignment horizontal="center" vertical="center"/>
    </xf>
    <xf numFmtId="49" fontId="14" fillId="16" borderId="33" xfId="0" applyNumberFormat="1" applyFont="1" applyFill="1" applyBorder="1" applyAlignment="1">
      <alignment horizontal="center" vertical="center" wrapText="1"/>
    </xf>
    <xf numFmtId="1" fontId="14" fillId="16" borderId="8" xfId="0" applyNumberFormat="1" applyFont="1" applyFill="1" applyBorder="1" applyAlignment="1">
      <alignment horizontal="left" vertical="center" wrapText="1"/>
    </xf>
    <xf numFmtId="49" fontId="14" fillId="16" borderId="18" xfId="0" applyNumberFormat="1" applyFont="1" applyFill="1" applyBorder="1" applyAlignment="1">
      <alignment horizontal="left" vertical="center"/>
    </xf>
    <xf numFmtId="2" fontId="14" fillId="0" borderId="18" xfId="0" quotePrefix="1" applyNumberFormat="1" applyFont="1" applyFill="1" applyBorder="1" applyAlignment="1">
      <alignment horizontal="center" vertical="center"/>
    </xf>
    <xf numFmtId="0" fontId="14" fillId="16" borderId="2" xfId="0" applyFont="1" applyFill="1" applyBorder="1" applyAlignment="1">
      <alignment vertical="center" wrapText="1"/>
    </xf>
    <xf numFmtId="49" fontId="17" fillId="23" borderId="0" xfId="0" applyNumberFormat="1" applyFont="1" applyFill="1" applyBorder="1" applyAlignment="1">
      <alignment vertical="center" wrapText="1"/>
    </xf>
    <xf numFmtId="49" fontId="18" fillId="2" borderId="0" xfId="0" applyNumberFormat="1" applyFont="1" applyFill="1" applyBorder="1" applyAlignment="1">
      <alignment horizontal="center" vertical="center"/>
    </xf>
    <xf numFmtId="49" fontId="17" fillId="2" borderId="13" xfId="0" applyNumberFormat="1" applyFont="1" applyFill="1" applyBorder="1" applyAlignment="1">
      <alignment vertical="center" wrapText="1"/>
    </xf>
    <xf numFmtId="1" fontId="14" fillId="0" borderId="18" xfId="0" applyNumberFormat="1" applyFont="1" applyFill="1" applyBorder="1" applyAlignment="1">
      <alignment horizontal="center" vertical="center"/>
    </xf>
    <xf numFmtId="0" fontId="14" fillId="0" borderId="0" xfId="0" applyNumberFormat="1" applyFont="1" applyFill="1" applyBorder="1" applyAlignment="1">
      <alignment horizontal="left" vertical="center" wrapText="1"/>
    </xf>
    <xf numFmtId="0" fontId="38" fillId="0" borderId="1" xfId="0" applyFont="1" applyFill="1" applyBorder="1"/>
    <xf numFmtId="1" fontId="14" fillId="0" borderId="18" xfId="0" applyNumberFormat="1" applyFont="1" applyFill="1" applyBorder="1" applyAlignment="1">
      <alignment horizontal="left" vertical="center"/>
    </xf>
    <xf numFmtId="1" fontId="14" fillId="0" borderId="21" xfId="0" applyNumberFormat="1" applyFont="1" applyFill="1" applyBorder="1" applyAlignment="1">
      <alignment horizontal="center" vertical="center"/>
    </xf>
    <xf numFmtId="0" fontId="40" fillId="17" borderId="1" xfId="0" applyNumberFormat="1" applyFont="1" applyFill="1" applyBorder="1" applyAlignment="1">
      <alignment horizontal="center" vertical="center" wrapText="1"/>
    </xf>
    <xf numFmtId="0" fontId="39" fillId="17" borderId="1" xfId="0" applyFont="1" applyFill="1" applyBorder="1" applyAlignment="1">
      <alignment vertical="center"/>
    </xf>
    <xf numFmtId="0" fontId="39" fillId="2" borderId="1" xfId="0" applyNumberFormat="1" applyFont="1" applyFill="1" applyBorder="1" applyAlignment="1">
      <alignment horizontal="left" vertical="center" wrapText="1"/>
    </xf>
    <xf numFmtId="0" fontId="39" fillId="2" borderId="1" xfId="0" applyNumberFormat="1" applyFont="1" applyFill="1" applyBorder="1" applyAlignment="1">
      <alignment horizontal="center" vertical="center" wrapText="1"/>
    </xf>
    <xf numFmtId="0" fontId="39" fillId="2" borderId="1" xfId="0" applyNumberFormat="1" applyFont="1" applyFill="1" applyBorder="1" applyAlignment="1">
      <alignment vertical="center"/>
    </xf>
    <xf numFmtId="0" fontId="39" fillId="2" borderId="1" xfId="0" applyNumberFormat="1" applyFont="1" applyFill="1" applyBorder="1" applyAlignment="1">
      <alignment horizontal="center" vertical="center"/>
    </xf>
    <xf numFmtId="0" fontId="39" fillId="2" borderId="1" xfId="0" applyNumberFormat="1" applyFont="1" applyFill="1" applyBorder="1" applyAlignment="1">
      <alignment horizontal="left" vertical="center"/>
    </xf>
    <xf numFmtId="2" fontId="39" fillId="2" borderId="1" xfId="0" applyNumberFormat="1" applyFont="1" applyFill="1" applyBorder="1" applyAlignment="1">
      <alignment horizontal="left" vertical="center"/>
    </xf>
    <xf numFmtId="0" fontId="40" fillId="2" borderId="1" xfId="0" applyNumberFormat="1" applyFont="1" applyFill="1" applyBorder="1" applyAlignment="1">
      <alignment horizontal="center" vertical="center" wrapText="1"/>
    </xf>
    <xf numFmtId="1" fontId="40" fillId="2" borderId="1" xfId="0" applyNumberFormat="1" applyFont="1" applyFill="1" applyBorder="1" applyAlignment="1">
      <alignment horizontal="center" vertical="center"/>
    </xf>
    <xf numFmtId="1" fontId="39" fillId="2" borderId="1" xfId="0" applyNumberFormat="1" applyFont="1" applyFill="1" applyBorder="1" applyAlignment="1">
      <alignment horizontal="center" vertical="center" wrapText="1"/>
    </xf>
    <xf numFmtId="1" fontId="39" fillId="2" borderId="1" xfId="0" applyNumberFormat="1" applyFont="1" applyFill="1" applyBorder="1" applyAlignment="1">
      <alignment horizontal="center" vertical="center"/>
    </xf>
    <xf numFmtId="49" fontId="39" fillId="17" borderId="0" xfId="0" applyNumberFormat="1" applyFont="1" applyFill="1" applyBorder="1" applyAlignment="1">
      <alignment horizontal="left" vertical="center"/>
    </xf>
    <xf numFmtId="0" fontId="39" fillId="17" borderId="0" xfId="0" applyFont="1" applyFill="1" applyBorder="1" applyAlignment="1">
      <alignment vertical="center"/>
    </xf>
    <xf numFmtId="0" fontId="39" fillId="2" borderId="0" xfId="0" applyNumberFormat="1" applyFont="1" applyFill="1" applyBorder="1" applyAlignment="1">
      <alignment horizontal="center" vertical="center" wrapText="1"/>
    </xf>
    <xf numFmtId="0" fontId="39" fillId="2" borderId="0" xfId="0" applyNumberFormat="1" applyFont="1" applyFill="1" applyBorder="1" applyAlignment="1">
      <alignment horizontal="left" vertical="center" wrapText="1"/>
    </xf>
    <xf numFmtId="49" fontId="39" fillId="2" borderId="0" xfId="0" applyNumberFormat="1" applyFont="1" applyFill="1" applyBorder="1" applyAlignment="1">
      <alignment horizontal="center" vertical="center"/>
    </xf>
    <xf numFmtId="0" fontId="40" fillId="0" borderId="0" xfId="1" applyFont="1" applyAlignment="1"/>
    <xf numFmtId="0" fontId="39" fillId="0" borderId="0" xfId="1" applyFont="1"/>
    <xf numFmtId="0" fontId="39" fillId="0" borderId="0" xfId="1" applyFont="1" applyBorder="1"/>
    <xf numFmtId="0" fontId="39" fillId="0" borderId="0" xfId="1" applyFont="1" applyAlignment="1">
      <alignment horizontal="left"/>
    </xf>
    <xf numFmtId="0" fontId="39" fillId="0" borderId="0" xfId="1" applyFont="1" applyAlignment="1">
      <alignment wrapText="1"/>
    </xf>
    <xf numFmtId="0" fontId="39" fillId="16" borderId="0" xfId="1" applyFont="1" applyFill="1" applyAlignment="1">
      <alignment horizontal="left"/>
    </xf>
    <xf numFmtId="0" fontId="39" fillId="0" borderId="0" xfId="1" applyFont="1" applyAlignment="1">
      <alignment horizontal="left" wrapText="1"/>
    </xf>
    <xf numFmtId="0" fontId="39" fillId="0" borderId="0" xfId="1" applyFont="1" applyAlignment="1">
      <alignment horizontal="right"/>
    </xf>
    <xf numFmtId="0" fontId="39" fillId="0" borderId="0" xfId="1" applyFont="1" applyBorder="1" applyAlignment="1">
      <alignment vertical="center"/>
    </xf>
    <xf numFmtId="0" fontId="39" fillId="2" borderId="1" xfId="1" applyNumberFormat="1" applyFont="1" applyFill="1" applyBorder="1" applyAlignment="1">
      <alignment horizontal="center" vertical="center" wrapText="1"/>
    </xf>
    <xf numFmtId="0" fontId="42" fillId="16" borderId="1" xfId="1" applyNumberFormat="1" applyFont="1" applyFill="1" applyBorder="1" applyAlignment="1">
      <alignment horizontal="center" vertical="center" wrapText="1"/>
    </xf>
    <xf numFmtId="0" fontId="39" fillId="2" borderId="1" xfId="1" applyNumberFormat="1" applyFont="1" applyFill="1" applyBorder="1" applyAlignment="1">
      <alignment horizontal="left" vertical="center" wrapText="1"/>
    </xf>
    <xf numFmtId="49" fontId="39" fillId="2" borderId="21" xfId="1" applyNumberFormat="1" applyFont="1" applyFill="1" applyBorder="1" applyAlignment="1">
      <alignment horizontal="center" vertical="center" wrapText="1"/>
    </xf>
    <xf numFmtId="49" fontId="39" fillId="2" borderId="18" xfId="1" applyNumberFormat="1" applyFont="1" applyFill="1" applyBorder="1" applyAlignment="1">
      <alignment horizontal="left" vertical="center" wrapText="1"/>
    </xf>
    <xf numFmtId="49" fontId="39" fillId="2" borderId="18" xfId="1" applyNumberFormat="1" applyFont="1" applyFill="1" applyBorder="1" applyAlignment="1">
      <alignment horizontal="center" vertical="center" wrapText="1"/>
    </xf>
    <xf numFmtId="0" fontId="39" fillId="2" borderId="20" xfId="1" applyNumberFormat="1" applyFont="1" applyFill="1" applyBorder="1" applyAlignment="1">
      <alignment horizontal="left" vertical="center" wrapText="1"/>
    </xf>
    <xf numFmtId="2" fontId="39" fillId="16" borderId="1" xfId="1" applyNumberFormat="1" applyFont="1" applyFill="1" applyBorder="1" applyAlignment="1">
      <alignment horizontal="left" vertical="center"/>
    </xf>
    <xf numFmtId="1" fontId="39" fillId="16" borderId="9" xfId="1" applyNumberFormat="1" applyFont="1" applyFill="1" applyBorder="1" applyAlignment="1">
      <alignment horizontal="center" vertical="center"/>
    </xf>
    <xf numFmtId="49" fontId="39" fillId="16" borderId="1" xfId="1" applyNumberFormat="1" applyFont="1" applyFill="1" applyBorder="1" applyAlignment="1">
      <alignment vertical="center"/>
    </xf>
    <xf numFmtId="0" fontId="46" fillId="16" borderId="13" xfId="1" applyNumberFormat="1" applyFont="1" applyFill="1" applyBorder="1" applyAlignment="1">
      <alignment horizontal="left" vertical="center" wrapText="1"/>
    </xf>
    <xf numFmtId="0" fontId="39" fillId="2" borderId="7" xfId="1" applyNumberFormat="1" applyFont="1" applyFill="1" applyBorder="1" applyAlignment="1">
      <alignment horizontal="left" vertical="center" wrapText="1"/>
    </xf>
    <xf numFmtId="0" fontId="42" fillId="16" borderId="13" xfId="1" applyNumberFormat="1" applyFont="1" applyFill="1" applyBorder="1" applyAlignment="1">
      <alignment horizontal="center" vertical="center" wrapText="1"/>
    </xf>
    <xf numFmtId="2" fontId="39" fillId="2" borderId="30" xfId="1" applyNumberFormat="1" applyFont="1" applyFill="1" applyBorder="1" applyAlignment="1">
      <alignment horizontal="center" vertical="center"/>
    </xf>
    <xf numFmtId="2" fontId="39" fillId="2" borderId="31" xfId="1" applyNumberFormat="1" applyFont="1" applyFill="1" applyBorder="1" applyAlignment="1">
      <alignment vertical="center"/>
    </xf>
    <xf numFmtId="0" fontId="48" fillId="0" borderId="1" xfId="1" applyFont="1" applyFill="1" applyBorder="1" applyAlignment="1">
      <alignment vertical="center"/>
    </xf>
    <xf numFmtId="1" fontId="39" fillId="2" borderId="1" xfId="1" applyNumberFormat="1" applyFont="1" applyFill="1" applyBorder="1" applyAlignment="1">
      <alignment horizontal="center" vertical="center"/>
    </xf>
    <xf numFmtId="0" fontId="39" fillId="2" borderId="7" xfId="1" applyNumberFormat="1" applyFont="1" applyFill="1" applyBorder="1" applyAlignment="1">
      <alignment horizontal="right" vertical="center"/>
    </xf>
    <xf numFmtId="0" fontId="39" fillId="2" borderId="18" xfId="1" applyNumberFormat="1" applyFont="1" applyFill="1" applyBorder="1" applyAlignment="1">
      <alignment horizontal="left" vertical="center"/>
    </xf>
    <xf numFmtId="0" fontId="39" fillId="2" borderId="20" xfId="1" applyNumberFormat="1" applyFont="1" applyFill="1" applyBorder="1" applyAlignment="1">
      <alignment horizontal="left" vertical="center"/>
    </xf>
    <xf numFmtId="2" fontId="39" fillId="0" borderId="1" xfId="1" applyNumberFormat="1" applyFont="1" applyFill="1" applyBorder="1" applyAlignment="1">
      <alignment horizontal="center" vertical="center"/>
    </xf>
    <xf numFmtId="2" fontId="39" fillId="0" borderId="7" xfId="1" applyNumberFormat="1" applyFont="1" applyFill="1" applyBorder="1" applyAlignment="1">
      <alignment horizontal="center" vertical="center"/>
    </xf>
    <xf numFmtId="2" fontId="39" fillId="0" borderId="21" xfId="1" applyNumberFormat="1" applyFont="1" applyFill="1" applyBorder="1" applyAlignment="1">
      <alignment horizontal="center" vertical="center"/>
    </xf>
    <xf numFmtId="2" fontId="39" fillId="0" borderId="18" xfId="1" applyNumberFormat="1" applyFont="1" applyFill="1" applyBorder="1" applyAlignment="1">
      <alignment horizontal="left" vertical="center"/>
    </xf>
    <xf numFmtId="2" fontId="39" fillId="0" borderId="18" xfId="1" applyNumberFormat="1" applyFont="1" applyFill="1" applyBorder="1" applyAlignment="1">
      <alignment horizontal="center" vertical="center"/>
    </xf>
    <xf numFmtId="1" fontId="39" fillId="0" borderId="20" xfId="1" applyNumberFormat="1" applyFont="1" applyFill="1" applyBorder="1" applyAlignment="1">
      <alignment horizontal="left" vertical="center"/>
    </xf>
    <xf numFmtId="0" fontId="40" fillId="7" borderId="14" xfId="1" applyFont="1" applyFill="1" applyBorder="1" applyAlignment="1">
      <alignment horizontal="center" vertical="center"/>
    </xf>
    <xf numFmtId="0" fontId="39" fillId="2" borderId="13" xfId="1" applyFont="1" applyFill="1" applyBorder="1" applyAlignment="1">
      <alignment horizontal="left" vertical="center"/>
    </xf>
    <xf numFmtId="1" fontId="39" fillId="2" borderId="7" xfId="1" applyNumberFormat="1" applyFont="1" applyFill="1" applyBorder="1" applyAlignment="1">
      <alignment horizontal="right" vertical="center"/>
    </xf>
    <xf numFmtId="2" fontId="39" fillId="2" borderId="18" xfId="1" applyNumberFormat="1" applyFont="1" applyFill="1" applyBorder="1" applyAlignment="1">
      <alignment horizontal="left" vertical="center"/>
    </xf>
    <xf numFmtId="1" fontId="39" fillId="2" borderId="32" xfId="1" applyNumberFormat="1" applyFont="1" applyFill="1" applyBorder="1" applyAlignment="1">
      <alignment horizontal="left" vertical="center"/>
    </xf>
    <xf numFmtId="2" fontId="39" fillId="2" borderId="1" xfId="1" applyNumberFormat="1" applyFont="1" applyFill="1" applyBorder="1" applyAlignment="1">
      <alignment horizontal="left" vertical="center"/>
    </xf>
    <xf numFmtId="2" fontId="39" fillId="2" borderId="7" xfId="1" applyNumberFormat="1" applyFont="1" applyFill="1" applyBorder="1" applyAlignment="1">
      <alignment horizontal="left" vertical="center"/>
    </xf>
    <xf numFmtId="49" fontId="39" fillId="2" borderId="21" xfId="1" applyNumberFormat="1" applyFont="1" applyFill="1" applyBorder="1" applyAlignment="1">
      <alignment horizontal="right" vertical="center"/>
    </xf>
    <xf numFmtId="49" fontId="39" fillId="2" borderId="18" xfId="1" applyNumberFormat="1" applyFont="1" applyFill="1" applyBorder="1" applyAlignment="1">
      <alignment horizontal="left" vertical="center"/>
    </xf>
    <xf numFmtId="49" fontId="39" fillId="2" borderId="18" xfId="1" applyNumberFormat="1" applyFont="1" applyFill="1" applyBorder="1" applyAlignment="1">
      <alignment horizontal="center" vertical="center"/>
    </xf>
    <xf numFmtId="0" fontId="39" fillId="2" borderId="8" xfId="1" applyNumberFormat="1" applyFont="1" applyFill="1" applyBorder="1" applyAlignment="1">
      <alignment horizontal="left" vertical="center" wrapText="1"/>
    </xf>
    <xf numFmtId="49" fontId="49" fillId="2" borderId="9" xfId="1" applyNumberFormat="1" applyFont="1" applyFill="1" applyBorder="1" applyAlignment="1">
      <alignment vertical="center" wrapText="1"/>
    </xf>
    <xf numFmtId="0" fontId="42" fillId="13" borderId="1" xfId="1" applyNumberFormat="1" applyFont="1" applyFill="1" applyBorder="1" applyAlignment="1">
      <alignment horizontal="center" vertical="center"/>
    </xf>
    <xf numFmtId="1" fontId="39" fillId="2" borderId="1" xfId="1" applyNumberFormat="1" applyFont="1" applyFill="1" applyBorder="1" applyAlignment="1">
      <alignment horizontal="center" vertical="center" wrapText="1"/>
    </xf>
    <xf numFmtId="1" fontId="42" fillId="16" borderId="1" xfId="1" applyNumberFormat="1" applyFont="1" applyFill="1" applyBorder="1" applyAlignment="1">
      <alignment horizontal="center" vertical="center"/>
    </xf>
    <xf numFmtId="2" fontId="39" fillId="2" borderId="1" xfId="1" applyNumberFormat="1" applyFont="1" applyFill="1" applyBorder="1" applyAlignment="1">
      <alignment horizontal="center" vertical="center"/>
    </xf>
    <xf numFmtId="0" fontId="39" fillId="2" borderId="1" xfId="1" applyFont="1" applyFill="1" applyBorder="1" applyAlignment="1">
      <alignment horizontal="center" vertical="center"/>
    </xf>
    <xf numFmtId="1" fontId="39" fillId="2" borderId="8" xfId="1" applyNumberFormat="1" applyFont="1" applyFill="1" applyBorder="1" applyAlignment="1">
      <alignment horizontal="right" vertical="center" wrapText="1"/>
    </xf>
    <xf numFmtId="49" fontId="39" fillId="2" borderId="21" xfId="1" applyNumberFormat="1" applyFont="1" applyFill="1" applyBorder="1" applyAlignment="1">
      <alignment horizontal="right" vertical="center" wrapText="1"/>
    </xf>
    <xf numFmtId="49" fontId="39" fillId="0" borderId="18" xfId="1" applyNumberFormat="1" applyFont="1" applyFill="1" applyBorder="1" applyAlignment="1">
      <alignment horizontal="left" vertical="center"/>
    </xf>
    <xf numFmtId="49" fontId="39" fillId="0" borderId="32" xfId="1" applyNumberFormat="1" applyFont="1" applyFill="1" applyBorder="1" applyAlignment="1">
      <alignment horizontal="right" vertical="center" wrapText="1"/>
    </xf>
    <xf numFmtId="1" fontId="39" fillId="2" borderId="7" xfId="1" applyNumberFormat="1" applyFont="1" applyFill="1" applyBorder="1" applyAlignment="1">
      <alignment horizontal="right" vertical="center" wrapText="1"/>
    </xf>
    <xf numFmtId="49" fontId="39" fillId="2" borderId="32" xfId="1" applyNumberFormat="1" applyFont="1" applyFill="1" applyBorder="1" applyAlignment="1">
      <alignment horizontal="center" vertical="center" wrapText="1"/>
    </xf>
    <xf numFmtId="49" fontId="49" fillId="2" borderId="9" xfId="1" applyNumberFormat="1" applyFont="1" applyFill="1" applyBorder="1" applyAlignment="1">
      <alignment vertical="center"/>
    </xf>
    <xf numFmtId="0" fontId="51" fillId="4" borderId="1" xfId="1" applyNumberFormat="1" applyFont="1" applyFill="1" applyBorder="1" applyAlignment="1">
      <alignment horizontal="center" vertical="center"/>
    </xf>
    <xf numFmtId="0" fontId="42" fillId="16" borderId="1" xfId="1" applyFont="1" applyFill="1" applyBorder="1" applyAlignment="1">
      <alignment horizontal="center" vertical="center"/>
    </xf>
    <xf numFmtId="0" fontId="39" fillId="33" borderId="1" xfId="1" applyNumberFormat="1" applyFont="1" applyFill="1" applyBorder="1" applyAlignment="1">
      <alignment horizontal="left" vertical="center" wrapText="1"/>
    </xf>
    <xf numFmtId="0" fontId="40" fillId="2" borderId="1" xfId="1" applyNumberFormat="1" applyFont="1" applyFill="1" applyBorder="1" applyAlignment="1">
      <alignment horizontal="center" vertical="center" wrapText="1"/>
    </xf>
    <xf numFmtId="1" fontId="39" fillId="2" borderId="7" xfId="1" applyNumberFormat="1" applyFont="1" applyFill="1" applyBorder="1" applyAlignment="1">
      <alignment horizontal="center" vertical="center"/>
    </xf>
    <xf numFmtId="0" fontId="39" fillId="0" borderId="8" xfId="1" applyFont="1" applyBorder="1" applyAlignment="1">
      <alignment vertical="center"/>
    </xf>
    <xf numFmtId="0" fontId="39" fillId="4" borderId="1" xfId="1" applyFont="1" applyFill="1" applyBorder="1" applyAlignment="1">
      <alignment vertical="center"/>
    </xf>
    <xf numFmtId="0" fontId="39" fillId="2" borderId="1" xfId="1" applyNumberFormat="1" applyFont="1" applyFill="1" applyBorder="1" applyAlignment="1">
      <alignment horizontal="center" vertical="center"/>
    </xf>
    <xf numFmtId="0" fontId="39" fillId="2" borderId="14" xfId="1" applyNumberFormat="1" applyFont="1" applyFill="1" applyBorder="1" applyAlignment="1">
      <alignment horizontal="center" vertical="center"/>
    </xf>
    <xf numFmtId="0" fontId="39" fillId="2" borderId="15" xfId="1" applyNumberFormat="1" applyFont="1" applyFill="1" applyBorder="1" applyAlignment="1">
      <alignment horizontal="center" vertical="center" wrapText="1"/>
    </xf>
    <xf numFmtId="0" fontId="39" fillId="2" borderId="13" xfId="1" applyNumberFormat="1" applyFont="1" applyFill="1" applyBorder="1" applyAlignment="1">
      <alignment horizontal="center" vertical="center"/>
    </xf>
    <xf numFmtId="1" fontId="40" fillId="2" borderId="7" xfId="1" applyNumberFormat="1" applyFont="1" applyFill="1" applyBorder="1" applyAlignment="1">
      <alignment horizontal="right" vertical="center"/>
    </xf>
    <xf numFmtId="2" fontId="50" fillId="2" borderId="1" xfId="1" applyNumberFormat="1" applyFont="1" applyFill="1" applyBorder="1" applyAlignment="1">
      <alignment horizontal="center" vertical="center"/>
    </xf>
    <xf numFmtId="0" fontId="39" fillId="2" borderId="14" xfId="1" applyFont="1" applyFill="1" applyBorder="1" applyAlignment="1">
      <alignment vertical="center"/>
    </xf>
    <xf numFmtId="0" fontId="39" fillId="2" borderId="13" xfId="1" applyFont="1" applyFill="1" applyBorder="1" applyAlignment="1">
      <alignment vertical="center"/>
    </xf>
    <xf numFmtId="1" fontId="40" fillId="2" borderId="8" xfId="1" applyNumberFormat="1" applyFont="1" applyFill="1" applyBorder="1" applyAlignment="1">
      <alignment horizontal="center" vertical="center"/>
    </xf>
    <xf numFmtId="1" fontId="40" fillId="2" borderId="24" xfId="1" applyNumberFormat="1" applyFont="1" applyFill="1" applyBorder="1" applyAlignment="1">
      <alignment horizontal="center" vertical="center" wrapText="1"/>
    </xf>
    <xf numFmtId="0" fontId="39" fillId="2" borderId="13" xfId="1" applyNumberFormat="1" applyFont="1" applyFill="1" applyBorder="1" applyAlignment="1">
      <alignment horizontal="center" vertical="center" wrapText="1"/>
    </xf>
    <xf numFmtId="0" fontId="39" fillId="2" borderId="8" xfId="1" applyNumberFormat="1" applyFont="1" applyFill="1" applyBorder="1" applyAlignment="1">
      <alignment horizontal="center" vertical="center" wrapText="1"/>
    </xf>
    <xf numFmtId="0" fontId="39" fillId="2" borderId="9" xfId="1" applyNumberFormat="1" applyFont="1" applyFill="1" applyBorder="1" applyAlignment="1">
      <alignment horizontal="center" vertical="center"/>
    </xf>
    <xf numFmtId="0" fontId="39" fillId="2" borderId="1" xfId="1" applyNumberFormat="1" applyFont="1" applyFill="1" applyBorder="1" applyAlignment="1">
      <alignment horizontal="left" vertical="center"/>
    </xf>
    <xf numFmtId="0" fontId="39" fillId="2" borderId="1" xfId="1" applyNumberFormat="1" applyFont="1" applyFill="1" applyBorder="1" applyAlignment="1">
      <alignment vertical="center"/>
    </xf>
    <xf numFmtId="0" fontId="39" fillId="2" borderId="9" xfId="1" applyNumberFormat="1" applyFont="1" applyFill="1" applyBorder="1" applyAlignment="1">
      <alignment horizontal="left" vertical="center" wrapText="1"/>
    </xf>
    <xf numFmtId="0" fontId="39" fillId="2" borderId="24" xfId="1" applyNumberFormat="1" applyFont="1" applyFill="1" applyBorder="1" applyAlignment="1">
      <alignment horizontal="left" vertical="center" wrapText="1"/>
    </xf>
    <xf numFmtId="0" fontId="39" fillId="2" borderId="20" xfId="1" applyNumberFormat="1" applyFont="1" applyFill="1" applyBorder="1" applyAlignment="1">
      <alignment horizontal="right" vertical="center" wrapText="1"/>
    </xf>
    <xf numFmtId="0" fontId="39" fillId="2" borderId="32" xfId="1" applyNumberFormat="1" applyFont="1" applyFill="1" applyBorder="1" applyAlignment="1">
      <alignment horizontal="center" vertical="center" wrapText="1"/>
    </xf>
    <xf numFmtId="1" fontId="40" fillId="2" borderId="1" xfId="1" applyNumberFormat="1" applyFont="1" applyFill="1" applyBorder="1" applyAlignment="1">
      <alignment horizontal="center" vertical="center"/>
    </xf>
    <xf numFmtId="0" fontId="39" fillId="2" borderId="8" xfId="1" applyFont="1" applyFill="1" applyBorder="1" applyAlignment="1">
      <alignment vertical="center"/>
    </xf>
    <xf numFmtId="0" fontId="52" fillId="17" borderId="8" xfId="1" applyFont="1" applyFill="1" applyBorder="1" applyAlignment="1">
      <alignment vertical="center"/>
    </xf>
    <xf numFmtId="0" fontId="39" fillId="0" borderId="8" xfId="1" applyFont="1" applyFill="1" applyBorder="1" applyAlignment="1">
      <alignment vertical="center"/>
    </xf>
    <xf numFmtId="0" fontId="39" fillId="0" borderId="0" xfId="1" quotePrefix="1" applyNumberFormat="1" applyFont="1" applyBorder="1" applyAlignment="1">
      <alignment horizontal="left"/>
    </xf>
    <xf numFmtId="0" fontId="39" fillId="2" borderId="0" xfId="1" applyFont="1" applyFill="1" applyAlignment="1">
      <alignment vertical="center"/>
    </xf>
    <xf numFmtId="0" fontId="47" fillId="2" borderId="24" xfId="1" applyNumberFormat="1" applyFont="1" applyFill="1" applyBorder="1" applyAlignment="1">
      <alignment horizontal="left" vertical="center" wrapText="1"/>
    </xf>
    <xf numFmtId="0" fontId="39" fillId="16" borderId="13" xfId="1" applyNumberFormat="1" applyFont="1" applyFill="1" applyBorder="1" applyAlignment="1">
      <alignment vertical="center" wrapText="1"/>
    </xf>
    <xf numFmtId="0" fontId="39" fillId="16" borderId="14" xfId="1" applyFont="1" applyFill="1" applyBorder="1" applyAlignment="1">
      <alignment vertical="center"/>
    </xf>
    <xf numFmtId="0" fontId="42" fillId="16" borderId="24" xfId="1" applyFont="1" applyFill="1" applyBorder="1" applyAlignment="1">
      <alignment horizontal="center" vertical="center" wrapText="1"/>
    </xf>
    <xf numFmtId="0" fontId="39" fillId="0" borderId="13" xfId="1" applyFont="1" applyBorder="1" applyAlignment="1">
      <alignment horizontal="center" vertical="center"/>
    </xf>
    <xf numFmtId="49" fontId="39" fillId="0" borderId="8" xfId="1" applyNumberFormat="1" applyFont="1" applyFill="1" applyBorder="1" applyAlignment="1">
      <alignment horizontal="left" vertical="center"/>
    </xf>
    <xf numFmtId="0" fontId="39" fillId="0" borderId="9" xfId="1" applyNumberFormat="1" applyFont="1" applyFill="1" applyBorder="1" applyAlignment="1">
      <alignment horizontal="left" vertical="center" wrapText="1"/>
    </xf>
    <xf numFmtId="0" fontId="40" fillId="16" borderId="14" xfId="1" applyFont="1" applyFill="1" applyBorder="1" applyAlignment="1">
      <alignment horizontal="center" vertical="center"/>
    </xf>
    <xf numFmtId="0" fontId="50" fillId="2" borderId="13" xfId="1" applyFont="1" applyFill="1" applyBorder="1" applyAlignment="1">
      <alignment horizontal="left" vertical="center"/>
    </xf>
    <xf numFmtId="0" fontId="39" fillId="2" borderId="9" xfId="1" applyFont="1" applyFill="1" applyBorder="1" applyAlignment="1">
      <alignment horizontal="left" vertical="center"/>
    </xf>
    <xf numFmtId="49" fontId="39" fillId="2" borderId="8" xfId="1" applyNumberFormat="1" applyFont="1" applyFill="1" applyBorder="1" applyAlignment="1">
      <alignment horizontal="right" vertical="center" wrapText="1"/>
    </xf>
    <xf numFmtId="49" fontId="39" fillId="2" borderId="8" xfId="1" applyNumberFormat="1" applyFont="1" applyFill="1" applyBorder="1" applyAlignment="1">
      <alignment horizontal="left" vertical="center"/>
    </xf>
    <xf numFmtId="0" fontId="39" fillId="2" borderId="0" xfId="1" applyNumberFormat="1" applyFont="1" applyFill="1" applyBorder="1" applyAlignment="1">
      <alignment horizontal="center" vertical="center" wrapText="1"/>
    </xf>
    <xf numFmtId="0" fontId="42" fillId="16" borderId="0" xfId="1" applyNumberFormat="1" applyFont="1" applyFill="1" applyBorder="1" applyAlignment="1">
      <alignment horizontal="center" vertical="center" wrapText="1"/>
    </xf>
    <xf numFmtId="0" fontId="39" fillId="2" borderId="0" xfId="1" applyNumberFormat="1" applyFont="1" applyFill="1" applyBorder="1" applyAlignment="1">
      <alignment horizontal="left" vertical="center" wrapText="1"/>
    </xf>
    <xf numFmtId="49" fontId="39" fillId="2" borderId="0" xfId="1" applyNumberFormat="1" applyFont="1" applyFill="1" applyBorder="1" applyAlignment="1">
      <alignment horizontal="center" vertical="center" wrapText="1"/>
    </xf>
    <xf numFmtId="49" fontId="39" fillId="2" borderId="0" xfId="1" applyNumberFormat="1" applyFont="1" applyFill="1" applyBorder="1" applyAlignment="1">
      <alignment horizontal="left" vertical="center" wrapText="1"/>
    </xf>
    <xf numFmtId="2" fontId="39" fillId="16" borderId="0" xfId="1" applyNumberFormat="1" applyFont="1" applyFill="1" applyBorder="1" applyAlignment="1">
      <alignment horizontal="left" vertical="center"/>
    </xf>
    <xf numFmtId="1" fontId="39" fillId="16" borderId="0" xfId="1" applyNumberFormat="1" applyFont="1" applyFill="1" applyBorder="1" applyAlignment="1">
      <alignment horizontal="center" vertical="center"/>
    </xf>
    <xf numFmtId="49" fontId="39" fillId="16" borderId="0" xfId="1" applyNumberFormat="1" applyFont="1" applyFill="1" applyBorder="1" applyAlignment="1">
      <alignment vertical="center"/>
    </xf>
    <xf numFmtId="0" fontId="46" fillId="16" borderId="0" xfId="1" applyNumberFormat="1" applyFont="1" applyFill="1" applyBorder="1" applyAlignment="1">
      <alignment horizontal="left" vertical="center" wrapText="1"/>
    </xf>
    <xf numFmtId="0" fontId="47" fillId="2" borderId="0" xfId="1" applyNumberFormat="1" applyFont="1" applyFill="1" applyBorder="1" applyAlignment="1">
      <alignment horizontal="left" vertical="center" wrapText="1"/>
    </xf>
    <xf numFmtId="0" fontId="39" fillId="16" borderId="0" xfId="1" applyNumberFormat="1" applyFont="1" applyFill="1" applyBorder="1" applyAlignment="1">
      <alignment vertical="center" wrapText="1"/>
    </xf>
    <xf numFmtId="2" fontId="39" fillId="2" borderId="0" xfId="1" applyNumberFormat="1" applyFont="1" applyFill="1" applyBorder="1" applyAlignment="1">
      <alignment horizontal="center" vertical="center"/>
    </xf>
    <xf numFmtId="2" fontId="39" fillId="2" borderId="0" xfId="1" applyNumberFormat="1" applyFont="1" applyFill="1" applyBorder="1" applyAlignment="1">
      <alignment vertical="center"/>
    </xf>
    <xf numFmtId="0" fontId="39" fillId="16" borderId="0" xfId="1" applyFont="1" applyFill="1" applyBorder="1" applyAlignment="1">
      <alignment vertical="center"/>
    </xf>
    <xf numFmtId="0" fontId="42" fillId="16" borderId="0" xfId="1" applyFont="1" applyFill="1" applyBorder="1" applyAlignment="1">
      <alignment horizontal="center" vertical="center" wrapText="1"/>
    </xf>
    <xf numFmtId="0" fontId="39" fillId="0" borderId="0" xfId="1" applyFont="1" applyBorder="1" applyAlignment="1">
      <alignment horizontal="center" vertical="center"/>
    </xf>
    <xf numFmtId="0" fontId="48" fillId="0" borderId="0" xfId="1" applyFont="1" applyFill="1" applyBorder="1" applyAlignment="1">
      <alignment vertical="center"/>
    </xf>
    <xf numFmtId="1" fontId="39" fillId="2" borderId="0" xfId="1" applyNumberFormat="1" applyFont="1" applyFill="1" applyBorder="1" applyAlignment="1">
      <alignment horizontal="center" vertical="center"/>
    </xf>
    <xf numFmtId="0" fontId="39" fillId="2" borderId="0" xfId="1" applyNumberFormat="1" applyFont="1" applyFill="1" applyBorder="1" applyAlignment="1">
      <alignment horizontal="right" vertical="center"/>
    </xf>
    <xf numFmtId="0" fontId="39" fillId="2" borderId="0" xfId="1" applyNumberFormat="1" applyFont="1" applyFill="1" applyBorder="1" applyAlignment="1">
      <alignment horizontal="left" vertical="center"/>
    </xf>
    <xf numFmtId="2" fontId="39" fillId="0" borderId="0" xfId="1" applyNumberFormat="1" applyFont="1" applyFill="1" applyBorder="1" applyAlignment="1">
      <alignment horizontal="center" vertical="center"/>
    </xf>
    <xf numFmtId="2" fontId="39" fillId="0" borderId="0" xfId="1" applyNumberFormat="1" applyFont="1" applyFill="1" applyBorder="1" applyAlignment="1">
      <alignment horizontal="left" vertical="center"/>
    </xf>
    <xf numFmtId="1" fontId="39" fillId="0" borderId="0" xfId="1" applyNumberFormat="1" applyFont="1" applyFill="1" applyBorder="1" applyAlignment="1">
      <alignment horizontal="left" vertical="center"/>
    </xf>
    <xf numFmtId="0" fontId="40" fillId="7" borderId="0" xfId="1" applyFont="1" applyFill="1" applyBorder="1" applyAlignment="1">
      <alignment horizontal="center" vertical="center"/>
    </xf>
    <xf numFmtId="0" fontId="39" fillId="2" borderId="0" xfId="1" applyFont="1" applyFill="1" applyBorder="1" applyAlignment="1">
      <alignment horizontal="left" vertical="center"/>
    </xf>
    <xf numFmtId="1" fontId="39" fillId="2" borderId="0" xfId="1" applyNumberFormat="1" applyFont="1" applyFill="1" applyBorder="1" applyAlignment="1">
      <alignment horizontal="right" vertical="center"/>
    </xf>
    <xf numFmtId="2" fontId="39" fillId="2" borderId="0" xfId="1" applyNumberFormat="1" applyFont="1" applyFill="1" applyBorder="1" applyAlignment="1">
      <alignment horizontal="left" vertical="center"/>
    </xf>
    <xf numFmtId="1" fontId="39" fillId="2" borderId="0" xfId="1" applyNumberFormat="1" applyFont="1" applyFill="1" applyBorder="1" applyAlignment="1">
      <alignment horizontal="left" vertical="center"/>
    </xf>
    <xf numFmtId="49" fontId="39" fillId="2" borderId="0" xfId="1" applyNumberFormat="1" applyFont="1" applyFill="1" applyBorder="1" applyAlignment="1">
      <alignment horizontal="right" vertical="center"/>
    </xf>
    <xf numFmtId="49" fontId="39" fillId="2" borderId="0" xfId="1" applyNumberFormat="1" applyFont="1" applyFill="1" applyBorder="1" applyAlignment="1">
      <alignment horizontal="left" vertical="center"/>
    </xf>
    <xf numFmtId="49" fontId="39" fillId="2" borderId="0" xfId="1" applyNumberFormat="1" applyFont="1" applyFill="1" applyBorder="1" applyAlignment="1">
      <alignment horizontal="center" vertical="center"/>
    </xf>
    <xf numFmtId="49" fontId="49" fillId="2" borderId="0" xfId="1" applyNumberFormat="1" applyFont="1" applyFill="1" applyBorder="1" applyAlignment="1">
      <alignment vertical="center" wrapText="1"/>
    </xf>
    <xf numFmtId="0" fontId="42" fillId="13" borderId="0" xfId="1" applyNumberFormat="1" applyFont="1" applyFill="1" applyBorder="1" applyAlignment="1">
      <alignment horizontal="center" vertical="center"/>
    </xf>
    <xf numFmtId="1" fontId="39" fillId="2" borderId="0" xfId="1" applyNumberFormat="1" applyFont="1" applyFill="1" applyBorder="1" applyAlignment="1">
      <alignment horizontal="center" vertical="center" wrapText="1"/>
    </xf>
    <xf numFmtId="1" fontId="42" fillId="16" borderId="0" xfId="1" applyNumberFormat="1" applyFont="1" applyFill="1" applyBorder="1" applyAlignment="1">
      <alignment horizontal="center" vertical="center"/>
    </xf>
    <xf numFmtId="0" fontId="39" fillId="2" borderId="0" xfId="1" applyFont="1" applyFill="1" applyBorder="1" applyAlignment="1">
      <alignment horizontal="center" vertical="center"/>
    </xf>
    <xf numFmtId="1" fontId="39" fillId="2" borderId="0" xfId="1" applyNumberFormat="1" applyFont="1" applyFill="1" applyBorder="1" applyAlignment="1">
      <alignment horizontal="right" vertical="center" wrapText="1"/>
    </xf>
    <xf numFmtId="49" fontId="39" fillId="2" borderId="0" xfId="1" applyNumberFormat="1" applyFont="1" applyFill="1" applyBorder="1" applyAlignment="1">
      <alignment horizontal="right" vertical="center" wrapText="1"/>
    </xf>
    <xf numFmtId="49" fontId="39" fillId="0" borderId="0" xfId="1" applyNumberFormat="1" applyFont="1" applyFill="1" applyBorder="1" applyAlignment="1">
      <alignment horizontal="left" vertical="center"/>
    </xf>
    <xf numFmtId="49" fontId="39" fillId="0" borderId="0" xfId="1" applyNumberFormat="1" applyFont="1" applyFill="1" applyBorder="1" applyAlignment="1">
      <alignment horizontal="right" vertical="center" wrapText="1"/>
    </xf>
    <xf numFmtId="0" fontId="39" fillId="0" borderId="0" xfId="1" applyNumberFormat="1" applyFont="1" applyFill="1" applyBorder="1" applyAlignment="1">
      <alignment horizontal="left" vertical="center" wrapText="1"/>
    </xf>
    <xf numFmtId="0" fontId="40" fillId="16" borderId="0" xfId="1" applyFont="1" applyFill="1" applyBorder="1" applyAlignment="1">
      <alignment horizontal="center" vertical="center"/>
    </xf>
    <xf numFmtId="0" fontId="50" fillId="2" borderId="0" xfId="1" applyFont="1" applyFill="1" applyBorder="1" applyAlignment="1">
      <alignment horizontal="left" vertical="center"/>
    </xf>
    <xf numFmtId="49" fontId="49" fillId="2" borderId="0" xfId="1" applyNumberFormat="1" applyFont="1" applyFill="1" applyBorder="1" applyAlignment="1">
      <alignment vertical="center"/>
    </xf>
    <xf numFmtId="0" fontId="51" fillId="4" borderId="0" xfId="1" applyNumberFormat="1" applyFont="1" applyFill="1" applyBorder="1" applyAlignment="1">
      <alignment horizontal="center" vertical="center"/>
    </xf>
    <xf numFmtId="0" fontId="42" fillId="16" borderId="0" xfId="1" applyFont="1" applyFill="1" applyBorder="1" applyAlignment="1">
      <alignment horizontal="center" vertical="center"/>
    </xf>
    <xf numFmtId="0" fontId="39" fillId="33" borderId="0" xfId="1" applyNumberFormat="1" applyFont="1" applyFill="1" applyBorder="1" applyAlignment="1">
      <alignment horizontal="left" vertical="center" wrapText="1"/>
    </xf>
    <xf numFmtId="0" fontId="40" fillId="2" borderId="0" xfId="1" applyNumberFormat="1" applyFont="1" applyFill="1" applyBorder="1" applyAlignment="1">
      <alignment horizontal="center" vertical="center" wrapText="1"/>
    </xf>
    <xf numFmtId="0" fontId="39" fillId="4" borderId="0" xfId="1" applyFont="1" applyFill="1" applyBorder="1" applyAlignment="1">
      <alignment vertical="center"/>
    </xf>
    <xf numFmtId="0" fontId="39" fillId="2" borderId="0" xfId="1" applyNumberFormat="1" applyFont="1" applyFill="1" applyBorder="1" applyAlignment="1">
      <alignment horizontal="center" vertical="center"/>
    </xf>
    <xf numFmtId="1" fontId="40" fillId="2" borderId="0" xfId="1" applyNumberFormat="1" applyFont="1" applyFill="1" applyBorder="1" applyAlignment="1">
      <alignment horizontal="right" vertical="center"/>
    </xf>
    <xf numFmtId="2" fontId="50" fillId="2" borderId="0" xfId="1" applyNumberFormat="1" applyFont="1" applyFill="1" applyBorder="1" applyAlignment="1">
      <alignment horizontal="center" vertical="center"/>
    </xf>
    <xf numFmtId="0" fontId="39" fillId="2" borderId="0" xfId="1" applyFont="1" applyFill="1" applyBorder="1" applyAlignment="1">
      <alignment vertical="center"/>
    </xf>
    <xf numFmtId="1" fontId="40" fillId="2" borderId="0" xfId="1" applyNumberFormat="1" applyFont="1" applyFill="1" applyBorder="1" applyAlignment="1">
      <alignment horizontal="center" vertical="center"/>
    </xf>
    <xf numFmtId="1" fontId="40" fillId="2" borderId="0" xfId="1" applyNumberFormat="1" applyFont="1" applyFill="1" applyBorder="1" applyAlignment="1">
      <alignment horizontal="center" vertical="center" wrapText="1"/>
    </xf>
    <xf numFmtId="0" fontId="39" fillId="2" borderId="0" xfId="1" applyNumberFormat="1" applyFont="1" applyFill="1" applyBorder="1" applyAlignment="1">
      <alignment vertical="center"/>
    </xf>
    <xf numFmtId="0" fontId="39" fillId="2" borderId="0" xfId="1" applyNumberFormat="1" applyFont="1" applyFill="1" applyBorder="1" applyAlignment="1">
      <alignment horizontal="right" vertical="center" wrapText="1"/>
    </xf>
    <xf numFmtId="0" fontId="52" fillId="17" borderId="0" xfId="1" applyFont="1" applyFill="1" applyBorder="1" applyAlignment="1">
      <alignment vertical="center"/>
    </xf>
    <xf numFmtId="0" fontId="39" fillId="0" borderId="0" xfId="1" applyFont="1" applyFill="1" applyBorder="1" applyAlignment="1">
      <alignment vertical="center"/>
    </xf>
    <xf numFmtId="49" fontId="14" fillId="0" borderId="0" xfId="0" applyNumberFormat="1" applyFont="1" applyFill="1" applyBorder="1" applyAlignment="1">
      <alignment horizontal="center" vertical="center" wrapText="1"/>
    </xf>
    <xf numFmtId="0" fontId="14" fillId="4" borderId="0" xfId="0" applyFont="1" applyFill="1" applyBorder="1" applyAlignment="1">
      <alignment vertical="center"/>
    </xf>
    <xf numFmtId="1" fontId="14" fillId="2" borderId="20" xfId="0" applyNumberFormat="1" applyFont="1" applyFill="1" applyBorder="1" applyAlignment="1">
      <alignment horizontal="left" vertical="center"/>
    </xf>
    <xf numFmtId="0" fontId="10" fillId="0" borderId="33" xfId="0" quotePrefix="1" applyNumberFormat="1" applyFont="1" applyBorder="1" applyAlignment="1">
      <alignment vertical="center"/>
    </xf>
    <xf numFmtId="1" fontId="14" fillId="0" borderId="20" xfId="0" applyNumberFormat="1" applyFont="1" applyFill="1" applyBorder="1" applyAlignment="1">
      <alignment horizontal="center" vertical="center"/>
    </xf>
    <xf numFmtId="2" fontId="14" fillId="23" borderId="8" xfId="0" applyNumberFormat="1" applyFont="1" applyFill="1" applyBorder="1" applyAlignment="1">
      <alignment horizontal="left" vertical="center"/>
    </xf>
    <xf numFmtId="1" fontId="39" fillId="2" borderId="9" xfId="1" applyNumberFormat="1" applyFont="1" applyFill="1" applyBorder="1" applyAlignment="1">
      <alignment horizontal="center" vertical="center" wrapText="1"/>
    </xf>
    <xf numFmtId="0" fontId="14" fillId="2" borderId="1" xfId="0" quotePrefix="1" applyNumberFormat="1" applyFont="1" applyFill="1" applyBorder="1" applyAlignment="1">
      <alignment horizontal="center" vertical="center" wrapText="1"/>
    </xf>
    <xf numFmtId="2" fontId="14" fillId="16" borderId="20" xfId="0" applyNumberFormat="1" applyFont="1" applyFill="1" applyBorder="1" applyAlignment="1">
      <alignment horizontal="center" vertical="center"/>
    </xf>
    <xf numFmtId="0" fontId="39" fillId="0" borderId="0" xfId="1" applyFont="1" applyAlignment="1">
      <alignment horizontal="center" wrapText="1"/>
    </xf>
    <xf numFmtId="0" fontId="15" fillId="0" borderId="1" xfId="0" applyFont="1" applyBorder="1" applyAlignment="1">
      <alignment vertical="center"/>
    </xf>
    <xf numFmtId="0" fontId="39" fillId="0" borderId="0" xfId="1" applyFont="1" applyAlignment="1">
      <alignment horizontal="center"/>
    </xf>
    <xf numFmtId="2" fontId="24" fillId="17" borderId="18" xfId="0" applyNumberFormat="1" applyFont="1" applyFill="1" applyBorder="1" applyAlignment="1">
      <alignment horizontal="left" vertical="center"/>
    </xf>
    <xf numFmtId="0" fontId="14" fillId="2" borderId="14" xfId="0" applyNumberFormat="1" applyFont="1" applyFill="1" applyBorder="1" applyAlignment="1">
      <alignment horizontal="left" vertical="center" wrapText="1"/>
    </xf>
    <xf numFmtId="1" fontId="39" fillId="2" borderId="0" xfId="1" applyNumberFormat="1" applyFont="1" applyFill="1" applyBorder="1" applyAlignment="1"/>
    <xf numFmtId="1" fontId="39" fillId="2" borderId="0" xfId="1" applyNumberFormat="1" applyFont="1" applyFill="1" applyBorder="1" applyAlignment="1">
      <alignment horizontal="right"/>
    </xf>
    <xf numFmtId="0" fontId="40" fillId="2" borderId="0" xfId="1" applyFont="1" applyFill="1" applyBorder="1" applyAlignment="1">
      <alignment horizontal="left"/>
    </xf>
    <xf numFmtId="0" fontId="40" fillId="2" borderId="0" xfId="1" applyFont="1" applyFill="1" applyBorder="1" applyAlignment="1">
      <alignment horizontal="right"/>
    </xf>
    <xf numFmtId="49" fontId="40" fillId="2" borderId="0" xfId="1" applyNumberFormat="1" applyFont="1" applyFill="1" applyBorder="1" applyAlignment="1">
      <alignment horizontal="right"/>
    </xf>
    <xf numFmtId="49" fontId="40" fillId="2" borderId="0" xfId="1" applyNumberFormat="1" applyFont="1" applyFill="1" applyBorder="1" applyAlignment="1">
      <alignment horizontal="left"/>
    </xf>
    <xf numFmtId="49" fontId="40" fillId="2" borderId="0" xfId="1" applyNumberFormat="1" applyFont="1" applyFill="1" applyBorder="1" applyAlignment="1">
      <alignment horizontal="left" wrapText="1"/>
    </xf>
    <xf numFmtId="0" fontId="40" fillId="2" borderId="0" xfId="1" applyFont="1" applyFill="1" applyBorder="1" applyAlignment="1">
      <alignment horizontal="center" wrapText="1"/>
    </xf>
    <xf numFmtId="0" fontId="40" fillId="2" borderId="0" xfId="1" applyFont="1" applyFill="1" applyBorder="1" applyAlignment="1">
      <alignment horizontal="center"/>
    </xf>
    <xf numFmtId="0" fontId="39" fillId="2" borderId="0" xfId="1" applyFont="1" applyFill="1" applyAlignment="1">
      <alignment horizontal="right"/>
    </xf>
    <xf numFmtId="0" fontId="39" fillId="2" borderId="0" xfId="1" applyFont="1" applyFill="1" applyAlignment="1">
      <alignment horizontal="center"/>
    </xf>
    <xf numFmtId="0" fontId="39" fillId="2" borderId="0" xfId="1" applyFont="1" applyFill="1" applyBorder="1" applyAlignment="1">
      <alignment horizontal="right"/>
    </xf>
    <xf numFmtId="0" fontId="39" fillId="2" borderId="0" xfId="1" applyFont="1" applyFill="1" applyBorder="1" applyAlignment="1">
      <alignment horizontal="left"/>
    </xf>
    <xf numFmtId="0" fontId="39" fillId="2" borderId="0" xfId="1" applyFont="1" applyFill="1" applyAlignment="1">
      <alignment horizontal="left"/>
    </xf>
    <xf numFmtId="0" fontId="39" fillId="2" borderId="0" xfId="1" applyFont="1" applyFill="1" applyBorder="1" applyAlignment="1">
      <alignment horizontal="center"/>
    </xf>
    <xf numFmtId="0" fontId="39" fillId="2" borderId="0" xfId="1" applyNumberFormat="1" applyFont="1" applyFill="1" applyAlignment="1">
      <alignment horizontal="center" wrapText="1"/>
    </xf>
    <xf numFmtId="0" fontId="39" fillId="2" borderId="0" xfId="1" applyNumberFormat="1" applyFont="1" applyFill="1" applyAlignment="1">
      <alignment horizontal="left" wrapText="1"/>
    </xf>
    <xf numFmtId="0" fontId="39" fillId="2" borderId="0" xfId="1" applyNumberFormat="1" applyFont="1" applyFill="1" applyAlignment="1">
      <alignment horizontal="center" textRotation="90" wrapText="1"/>
    </xf>
    <xf numFmtId="2" fontId="39" fillId="2" borderId="0" xfId="1" applyNumberFormat="1" applyFont="1" applyFill="1" applyAlignment="1"/>
    <xf numFmtId="0" fontId="53" fillId="0" borderId="0" xfId="1" applyFont="1" applyAlignment="1"/>
    <xf numFmtId="0" fontId="53" fillId="0" borderId="0" xfId="1" applyFont="1" applyAlignment="1">
      <alignment horizontal="center"/>
    </xf>
    <xf numFmtId="0" fontId="40" fillId="0" borderId="0" xfId="1" applyFont="1" applyAlignment="1">
      <alignment wrapText="1"/>
    </xf>
    <xf numFmtId="0" fontId="40" fillId="0" borderId="0" xfId="1" applyNumberFormat="1" applyFont="1" applyBorder="1" applyAlignment="1">
      <alignment horizontal="center" wrapText="1"/>
    </xf>
    <xf numFmtId="0" fontId="40" fillId="0" borderId="0" xfId="1" applyNumberFormat="1" applyFont="1" applyAlignment="1">
      <alignment horizontal="center"/>
    </xf>
    <xf numFmtId="0" fontId="39" fillId="0" borderId="0" xfId="1" applyNumberFormat="1" applyFont="1" applyAlignment="1">
      <alignment wrapText="1"/>
    </xf>
    <xf numFmtId="2" fontId="47" fillId="0" borderId="0" xfId="1" applyNumberFormat="1" applyFont="1" applyAlignment="1"/>
    <xf numFmtId="0" fontId="47" fillId="0" borderId="0" xfId="1" applyNumberFormat="1" applyFont="1" applyBorder="1" applyAlignment="1">
      <alignment horizontal="center" wrapText="1"/>
    </xf>
    <xf numFmtId="0" fontId="47" fillId="0" borderId="0" xfId="1" applyNumberFormat="1" applyFont="1" applyAlignment="1">
      <alignment wrapText="1"/>
    </xf>
    <xf numFmtId="0" fontId="47" fillId="0" borderId="0" xfId="1" applyNumberFormat="1" applyFont="1" applyAlignment="1">
      <alignment horizontal="left"/>
    </xf>
    <xf numFmtId="0" fontId="47" fillId="0" borderId="0" xfId="1" applyNumberFormat="1" applyFont="1" applyBorder="1" applyAlignment="1">
      <alignment wrapText="1"/>
    </xf>
    <xf numFmtId="0" fontId="47" fillId="0" borderId="0" xfId="1" applyNumberFormat="1" applyFont="1" applyBorder="1" applyAlignment="1">
      <alignment horizontal="left" wrapText="1"/>
    </xf>
    <xf numFmtId="0" fontId="39" fillId="0" borderId="0" xfId="1" applyNumberFormat="1" applyFont="1" applyBorder="1" applyAlignment="1">
      <alignment wrapText="1"/>
    </xf>
    <xf numFmtId="0" fontId="39" fillId="0" borderId="0" xfId="1" applyNumberFormat="1" applyFont="1" applyBorder="1" applyAlignment="1">
      <alignment horizontal="left" wrapText="1"/>
    </xf>
    <xf numFmtId="0" fontId="39" fillId="0" borderId="0" xfId="1" applyNumberFormat="1" applyFont="1" applyBorder="1" applyAlignment="1">
      <alignment horizontal="center" wrapText="1"/>
    </xf>
    <xf numFmtId="0" fontId="40" fillId="0" borderId="0" xfId="1" applyFont="1" applyAlignment="1">
      <alignment vertical="top"/>
    </xf>
    <xf numFmtId="2" fontId="40" fillId="0" borderId="0" xfId="1" applyNumberFormat="1" applyFont="1" applyAlignment="1"/>
    <xf numFmtId="2" fontId="40" fillId="0" borderId="0" xfId="1" applyNumberFormat="1" applyFont="1" applyAlignment="1">
      <alignment horizontal="left"/>
    </xf>
    <xf numFmtId="2" fontId="40" fillId="0" borderId="0" xfId="1" applyNumberFormat="1" applyFont="1" applyBorder="1" applyAlignment="1">
      <alignment horizontal="center"/>
    </xf>
    <xf numFmtId="2" fontId="40" fillId="0" borderId="0" xfId="1" applyNumberFormat="1" applyFont="1" applyBorder="1" applyAlignment="1"/>
    <xf numFmtId="0" fontId="39" fillId="2" borderId="7" xfId="1" applyNumberFormat="1" applyFont="1" applyFill="1" applyBorder="1" applyAlignment="1">
      <alignment horizontal="center" vertical="center" wrapText="1"/>
    </xf>
    <xf numFmtId="0" fontId="58" fillId="0" borderId="0" xfId="1" applyNumberFormat="1" applyFont="1" applyBorder="1" applyAlignment="1">
      <alignment wrapText="1"/>
    </xf>
    <xf numFmtId="0" fontId="58" fillId="0" borderId="0" xfId="1" applyNumberFormat="1" applyFont="1" applyBorder="1" applyAlignment="1">
      <alignment horizontal="left" wrapText="1"/>
    </xf>
    <xf numFmtId="0" fontId="41" fillId="0" borderId="0" xfId="1" applyNumberFormat="1" applyFont="1" applyBorder="1" applyAlignment="1">
      <alignment wrapText="1"/>
    </xf>
    <xf numFmtId="0" fontId="41" fillId="0" borderId="0" xfId="1" applyNumberFormat="1" applyFont="1" applyBorder="1" applyAlignment="1">
      <alignment horizontal="left" wrapText="1"/>
    </xf>
    <xf numFmtId="0" fontId="41" fillId="0" borderId="0" xfId="1" applyNumberFormat="1" applyFont="1" applyBorder="1" applyAlignment="1">
      <alignment horizontal="center" wrapText="1"/>
    </xf>
    <xf numFmtId="0" fontId="39" fillId="2" borderId="0" xfId="1" applyFont="1" applyFill="1" applyAlignment="1">
      <alignment vertical="center" wrapText="1"/>
    </xf>
    <xf numFmtId="0" fontId="39" fillId="2" borderId="14" xfId="1" applyNumberFormat="1" applyFont="1" applyFill="1" applyBorder="1" applyAlignment="1">
      <alignment horizontal="left" vertical="center"/>
    </xf>
    <xf numFmtId="0" fontId="39" fillId="2" borderId="14" xfId="1" applyNumberFormat="1" applyFont="1" applyFill="1" applyBorder="1" applyAlignment="1">
      <alignment vertical="center"/>
    </xf>
    <xf numFmtId="0" fontId="39" fillId="2" borderId="8" xfId="1" applyNumberFormat="1" applyFont="1" applyFill="1" applyBorder="1" applyAlignment="1">
      <alignment vertical="center"/>
    </xf>
    <xf numFmtId="49" fontId="60" fillId="2" borderId="9" xfId="1" applyNumberFormat="1" applyFont="1" applyFill="1" applyBorder="1" applyAlignment="1">
      <alignment horizontal="left" vertical="center"/>
    </xf>
    <xf numFmtId="0" fontId="61" fillId="2" borderId="0" xfId="1" applyNumberFormat="1" applyFont="1" applyFill="1" applyAlignment="1">
      <alignment horizontal="center" vertical="center"/>
    </xf>
    <xf numFmtId="0" fontId="50" fillId="2" borderId="1" xfId="1" applyNumberFormat="1" applyFont="1" applyFill="1" applyBorder="1" applyAlignment="1">
      <alignment horizontal="center" vertical="center" wrapText="1"/>
    </xf>
    <xf numFmtId="1" fontId="40" fillId="2" borderId="7" xfId="1" applyNumberFormat="1" applyFont="1" applyFill="1" applyBorder="1" applyAlignment="1">
      <alignment horizontal="center" vertical="center"/>
    </xf>
    <xf numFmtId="1" fontId="56" fillId="2" borderId="1" xfId="1" applyNumberFormat="1" applyFont="1" applyFill="1" applyBorder="1" applyAlignment="1">
      <alignment horizontal="center" vertical="center"/>
    </xf>
    <xf numFmtId="1" fontId="50" fillId="2" borderId="14" xfId="1" applyNumberFormat="1" applyFont="1" applyFill="1" applyBorder="1" applyAlignment="1">
      <alignment horizontal="center" vertical="center"/>
    </xf>
    <xf numFmtId="0" fontId="50" fillId="2" borderId="1" xfId="1" applyFont="1" applyFill="1" applyBorder="1" applyAlignment="1">
      <alignment horizontal="center" vertical="center"/>
    </xf>
    <xf numFmtId="2" fontId="56" fillId="2" borderId="1" xfId="1" applyNumberFormat="1" applyFont="1" applyFill="1" applyBorder="1" applyAlignment="1">
      <alignment horizontal="center" vertical="center"/>
    </xf>
    <xf numFmtId="0" fontId="56" fillId="2" borderId="1" xfId="1" applyFont="1" applyFill="1" applyBorder="1" applyAlignment="1">
      <alignment vertical="center"/>
    </xf>
    <xf numFmtId="0" fontId="59" fillId="2" borderId="0" xfId="1" applyNumberFormat="1" applyFont="1" applyFill="1" applyBorder="1" applyAlignment="1">
      <alignment horizontal="center" vertical="center" wrapText="1"/>
    </xf>
    <xf numFmtId="0" fontId="39" fillId="2" borderId="11" xfId="1" applyFont="1" applyFill="1" applyBorder="1" applyAlignment="1">
      <alignment horizontal="left" vertical="center"/>
    </xf>
    <xf numFmtId="0" fontId="39" fillId="2" borderId="16" xfId="1" applyNumberFormat="1" applyFont="1" applyFill="1" applyBorder="1" applyAlignment="1">
      <alignment horizontal="left" vertical="center" wrapText="1"/>
    </xf>
    <xf numFmtId="0" fontId="39" fillId="2" borderId="6" xfId="1" applyNumberFormat="1" applyFont="1" applyFill="1" applyBorder="1" applyAlignment="1">
      <alignment horizontal="center" vertical="center" wrapText="1"/>
    </xf>
    <xf numFmtId="0" fontId="40" fillId="0" borderId="0" xfId="1" applyFont="1" applyAlignment="1">
      <alignment vertical="center"/>
    </xf>
    <xf numFmtId="0" fontId="40" fillId="0" borderId="0" xfId="1" applyNumberFormat="1" applyFont="1" applyBorder="1" applyAlignment="1"/>
    <xf numFmtId="0" fontId="39" fillId="2" borderId="3" xfId="1" applyNumberFormat="1" applyFont="1" applyFill="1" applyBorder="1" applyAlignment="1">
      <alignment horizontal="center" vertical="center" wrapText="1"/>
    </xf>
    <xf numFmtId="0" fontId="57" fillId="0" borderId="0" xfId="1" applyFont="1" applyAlignment="1">
      <alignment horizontal="center" vertical="center"/>
    </xf>
    <xf numFmtId="0" fontId="39" fillId="2" borderId="15" xfId="1" applyNumberFormat="1" applyFont="1" applyFill="1" applyBorder="1" applyAlignment="1">
      <alignment horizontal="center" vertical="center"/>
    </xf>
    <xf numFmtId="0" fontId="39" fillId="2" borderId="8" xfId="1" applyNumberFormat="1" applyFont="1" applyFill="1" applyBorder="1" applyAlignment="1">
      <alignment horizontal="center" vertical="center"/>
    </xf>
    <xf numFmtId="0" fontId="39" fillId="2" borderId="8" xfId="1" applyNumberFormat="1" applyFont="1" applyFill="1" applyBorder="1" applyAlignment="1">
      <alignment horizontal="left" vertical="center"/>
    </xf>
    <xf numFmtId="0" fontId="39" fillId="2" borderId="9" xfId="1" applyNumberFormat="1" applyFont="1" applyFill="1" applyBorder="1" applyAlignment="1">
      <alignment horizontal="center" vertical="center" wrapText="1"/>
    </xf>
    <xf numFmtId="0" fontId="50" fillId="2" borderId="9" xfId="1" applyNumberFormat="1" applyFont="1" applyFill="1" applyBorder="1" applyAlignment="1">
      <alignment horizontal="center" vertical="center" wrapText="1"/>
    </xf>
    <xf numFmtId="1" fontId="39" fillId="2" borderId="8" xfId="1" applyNumberFormat="1" applyFont="1" applyFill="1" applyBorder="1" applyAlignment="1">
      <alignment horizontal="center" vertical="center" wrapText="1"/>
    </xf>
    <xf numFmtId="1" fontId="56" fillId="2" borderId="9" xfId="1" applyNumberFormat="1" applyFont="1" applyFill="1" applyBorder="1" applyAlignment="1">
      <alignment horizontal="center" vertical="center"/>
    </xf>
    <xf numFmtId="1" fontId="50" fillId="2" borderId="8" xfId="1" applyNumberFormat="1" applyFont="1" applyFill="1" applyBorder="1" applyAlignment="1">
      <alignment horizontal="center" vertical="center"/>
    </xf>
    <xf numFmtId="0" fontId="50" fillId="2" borderId="9" xfId="1" applyFont="1" applyFill="1" applyBorder="1" applyAlignment="1">
      <alignment horizontal="center" vertical="center"/>
    </xf>
    <xf numFmtId="1" fontId="40" fillId="2" borderId="8" xfId="1" applyNumberFormat="1" applyFont="1" applyFill="1" applyBorder="1" applyAlignment="1">
      <alignment horizontal="right" vertical="center"/>
    </xf>
    <xf numFmtId="2" fontId="50" fillId="2" borderId="7" xfId="1" applyNumberFormat="1" applyFont="1" applyFill="1" applyBorder="1" applyAlignment="1">
      <alignment horizontal="center" vertical="center"/>
    </xf>
    <xf numFmtId="0" fontId="56" fillId="2" borderId="8" xfId="1" applyFont="1" applyFill="1" applyBorder="1" applyAlignment="1">
      <alignment vertical="center"/>
    </xf>
    <xf numFmtId="0" fontId="39" fillId="2" borderId="10" xfId="1" applyNumberFormat="1" applyFont="1" applyFill="1" applyBorder="1" applyAlignment="1">
      <alignment horizontal="center" vertical="center" wrapText="1"/>
    </xf>
    <xf numFmtId="0" fontId="39" fillId="2" borderId="28" xfId="1" applyNumberFormat="1" applyFont="1" applyFill="1" applyBorder="1" applyAlignment="1">
      <alignment horizontal="left" vertical="center"/>
    </xf>
    <xf numFmtId="0" fontId="39" fillId="2" borderId="29" xfId="1" applyNumberFormat="1" applyFont="1" applyFill="1" applyBorder="1" applyAlignment="1">
      <alignment horizontal="center" vertical="center"/>
    </xf>
    <xf numFmtId="0" fontId="39" fillId="2" borderId="28" xfId="1" applyNumberFormat="1" applyFont="1" applyFill="1" applyBorder="1" applyAlignment="1">
      <alignment vertical="center"/>
    </xf>
    <xf numFmtId="0" fontId="39" fillId="2" borderId="17" xfId="1" applyNumberFormat="1" applyFont="1" applyFill="1" applyBorder="1" applyAlignment="1">
      <alignment vertical="center"/>
    </xf>
    <xf numFmtId="0" fontId="39" fillId="2" borderId="17" xfId="1" applyNumberFormat="1" applyFont="1" applyFill="1" applyBorder="1" applyAlignment="1">
      <alignment horizontal="center" vertical="center"/>
    </xf>
    <xf numFmtId="0" fontId="39" fillId="2" borderId="17" xfId="1" applyNumberFormat="1" applyFont="1" applyFill="1" applyBorder="1" applyAlignment="1">
      <alignment horizontal="left" vertical="center"/>
    </xf>
    <xf numFmtId="0" fontId="39" fillId="2" borderId="11" xfId="1" applyNumberFormat="1" applyFont="1" applyFill="1" applyBorder="1" applyAlignment="1">
      <alignment horizontal="center" vertical="center" wrapText="1"/>
    </xf>
    <xf numFmtId="49" fontId="60" fillId="2" borderId="11" xfId="1" applyNumberFormat="1" applyFont="1" applyFill="1" applyBorder="1" applyAlignment="1">
      <alignment horizontal="left" vertical="center"/>
    </xf>
    <xf numFmtId="2" fontId="39" fillId="2" borderId="6" xfId="1" applyNumberFormat="1" applyFont="1" applyFill="1" applyBorder="1" applyAlignment="1">
      <alignment horizontal="left" vertical="center"/>
    </xf>
    <xf numFmtId="0" fontId="50" fillId="2" borderId="11" xfId="1" applyNumberFormat="1" applyFont="1" applyFill="1" applyBorder="1" applyAlignment="1">
      <alignment horizontal="center" vertical="center" wrapText="1"/>
    </xf>
    <xf numFmtId="1" fontId="40" fillId="2" borderId="6" xfId="1" applyNumberFormat="1" applyFont="1" applyFill="1" applyBorder="1" applyAlignment="1">
      <alignment horizontal="center" vertical="center"/>
    </xf>
    <xf numFmtId="1" fontId="39" fillId="2" borderId="17" xfId="1" applyNumberFormat="1" applyFont="1" applyFill="1" applyBorder="1" applyAlignment="1">
      <alignment horizontal="center" vertical="center" wrapText="1"/>
    </xf>
    <xf numFmtId="1" fontId="56" fillId="2" borderId="11" xfId="1" applyNumberFormat="1" applyFont="1" applyFill="1" applyBorder="1" applyAlignment="1">
      <alignment horizontal="center" vertical="center"/>
    </xf>
    <xf numFmtId="1" fontId="50" fillId="2" borderId="17" xfId="1" applyNumberFormat="1" applyFont="1" applyFill="1" applyBorder="1" applyAlignment="1">
      <alignment horizontal="center" vertical="center"/>
    </xf>
    <xf numFmtId="0" fontId="50" fillId="2" borderId="11" xfId="1" applyFont="1" applyFill="1" applyBorder="1" applyAlignment="1">
      <alignment horizontal="center" vertical="center"/>
    </xf>
    <xf numFmtId="2" fontId="56" fillId="2" borderId="16" xfId="1" applyNumberFormat="1" applyFont="1" applyFill="1" applyBorder="1" applyAlignment="1">
      <alignment horizontal="center" vertical="center"/>
    </xf>
    <xf numFmtId="1" fontId="40" fillId="2" borderId="17" xfId="1" applyNumberFormat="1" applyFont="1" applyFill="1" applyBorder="1" applyAlignment="1">
      <alignment horizontal="right" vertical="center"/>
    </xf>
    <xf numFmtId="2" fontId="50" fillId="2" borderId="6" xfId="1" applyNumberFormat="1" applyFont="1" applyFill="1" applyBorder="1" applyAlignment="1">
      <alignment horizontal="center" vertical="center"/>
    </xf>
    <xf numFmtId="0" fontId="56" fillId="2" borderId="17" xfId="1" applyFont="1" applyFill="1" applyBorder="1" applyAlignment="1">
      <alignment vertical="center"/>
    </xf>
    <xf numFmtId="0" fontId="39"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49" fontId="39" fillId="2" borderId="1" xfId="0" applyNumberFormat="1" applyFont="1" applyFill="1" applyBorder="1" applyAlignment="1">
      <alignment horizontal="center" vertical="center" wrapText="1"/>
    </xf>
    <xf numFmtId="49" fontId="39" fillId="2" borderId="1" xfId="0" applyNumberFormat="1" applyFont="1" applyFill="1" applyBorder="1" applyAlignment="1">
      <alignment horizontal="left" vertical="center" wrapText="1"/>
    </xf>
    <xf numFmtId="2" fontId="39" fillId="16" borderId="1" xfId="0" applyNumberFormat="1" applyFont="1" applyFill="1" applyBorder="1" applyAlignment="1">
      <alignment horizontal="left" vertical="center"/>
    </xf>
    <xf numFmtId="1" fontId="39" fillId="16" borderId="1" xfId="0" applyNumberFormat="1" applyFont="1" applyFill="1" applyBorder="1" applyAlignment="1">
      <alignment horizontal="center" vertical="center"/>
    </xf>
    <xf numFmtId="49" fontId="39" fillId="16" borderId="1" xfId="0" applyNumberFormat="1" applyFont="1" applyFill="1" applyBorder="1" applyAlignment="1">
      <alignment vertical="center"/>
    </xf>
    <xf numFmtId="0" fontId="46" fillId="16" borderId="1" xfId="0" applyNumberFormat="1" applyFont="1" applyFill="1" applyBorder="1" applyAlignment="1">
      <alignment horizontal="left" vertical="center" wrapText="1"/>
    </xf>
    <xf numFmtId="0" fontId="42" fillId="16" borderId="1" xfId="0" applyNumberFormat="1" applyFont="1" applyFill="1" applyBorder="1" applyAlignment="1">
      <alignment horizontal="center" vertical="center" wrapText="1"/>
    </xf>
    <xf numFmtId="0" fontId="39" fillId="16" borderId="1" xfId="0" applyNumberFormat="1" applyFont="1" applyFill="1" applyBorder="1" applyAlignment="1">
      <alignment vertical="center" wrapText="1"/>
    </xf>
    <xf numFmtId="2" fontId="39" fillId="2" borderId="30" xfId="0" applyNumberFormat="1" applyFont="1" applyFill="1" applyBorder="1" applyAlignment="1">
      <alignment horizontal="center" vertical="center"/>
    </xf>
    <xf numFmtId="2" fontId="39" fillId="2" borderId="31" xfId="0" applyNumberFormat="1" applyFont="1" applyFill="1" applyBorder="1" applyAlignment="1">
      <alignment vertical="center"/>
    </xf>
    <xf numFmtId="0" fontId="39" fillId="16" borderId="1" xfId="0" applyFont="1" applyFill="1" applyBorder="1" applyAlignment="1">
      <alignment vertical="center"/>
    </xf>
    <xf numFmtId="0" fontId="42" fillId="16" borderId="2" xfId="0" applyFont="1" applyFill="1" applyBorder="1" applyAlignment="1">
      <alignment vertical="center" wrapText="1"/>
    </xf>
    <xf numFmtId="0" fontId="39" fillId="0" borderId="1" xfId="0" applyFont="1" applyBorder="1" applyAlignment="1">
      <alignment vertical="center"/>
    </xf>
    <xf numFmtId="0" fontId="48" fillId="0" borderId="1" xfId="0" applyFont="1" applyFill="1" applyBorder="1" applyAlignment="1">
      <alignment vertical="center"/>
    </xf>
    <xf numFmtId="0" fontId="39" fillId="2" borderId="8" xfId="0" applyNumberFormat="1" applyFont="1" applyFill="1" applyBorder="1" applyAlignment="1">
      <alignment horizontal="right" vertical="center"/>
    </xf>
    <xf numFmtId="0" fontId="39" fillId="2" borderId="18" xfId="0" applyNumberFormat="1" applyFont="1" applyFill="1" applyBorder="1" applyAlignment="1">
      <alignment horizontal="left" vertical="center"/>
    </xf>
    <xf numFmtId="0" fontId="39" fillId="2" borderId="20" xfId="0" applyNumberFormat="1" applyFont="1" applyFill="1" applyBorder="1" applyAlignment="1">
      <alignment horizontal="left" vertical="center"/>
    </xf>
    <xf numFmtId="2" fontId="39" fillId="0" borderId="1" xfId="0" applyNumberFormat="1" applyFont="1" applyFill="1" applyBorder="1" applyAlignment="1">
      <alignment horizontal="center" vertical="center"/>
    </xf>
    <xf numFmtId="2" fontId="39" fillId="0" borderId="7" xfId="0" applyNumberFormat="1" applyFont="1" applyFill="1" applyBorder="1" applyAlignment="1">
      <alignment horizontal="center" vertical="center"/>
    </xf>
    <xf numFmtId="2" fontId="39" fillId="0" borderId="18" xfId="0" applyNumberFormat="1" applyFont="1" applyFill="1" applyBorder="1" applyAlignment="1">
      <alignment horizontal="center" vertical="center"/>
    </xf>
    <xf numFmtId="2" fontId="39" fillId="0" borderId="21" xfId="0" applyNumberFormat="1" applyFont="1" applyFill="1" applyBorder="1" applyAlignment="1">
      <alignment horizontal="center" vertical="center"/>
    </xf>
    <xf numFmtId="2" fontId="39" fillId="0" borderId="18" xfId="0" applyNumberFormat="1" applyFont="1" applyFill="1" applyBorder="1" applyAlignment="1">
      <alignment horizontal="left" vertical="center"/>
    </xf>
    <xf numFmtId="1" fontId="39" fillId="0" borderId="20" xfId="0" applyNumberFormat="1" applyFont="1" applyFill="1" applyBorder="1" applyAlignment="1">
      <alignment horizontal="left" vertical="center"/>
    </xf>
    <xf numFmtId="0" fontId="40" fillId="7" borderId="14" xfId="0" applyFont="1" applyFill="1" applyBorder="1" applyAlignment="1">
      <alignment horizontal="center" vertical="center"/>
    </xf>
    <xf numFmtId="0" fontId="39" fillId="2" borderId="13" xfId="0" applyFont="1" applyFill="1" applyBorder="1" applyAlignment="1">
      <alignment horizontal="left" vertical="center"/>
    </xf>
    <xf numFmtId="1" fontId="39" fillId="2" borderId="8" xfId="0" applyNumberFormat="1" applyFont="1" applyFill="1" applyBorder="1" applyAlignment="1">
      <alignment horizontal="right" vertical="center"/>
    </xf>
    <xf numFmtId="2" fontId="39" fillId="2" borderId="8" xfId="0" applyNumberFormat="1" applyFont="1" applyFill="1" applyBorder="1" applyAlignment="1">
      <alignment horizontal="left" vertical="center"/>
    </xf>
    <xf numFmtId="1" fontId="39" fillId="2" borderId="32" xfId="0" applyNumberFormat="1" applyFont="1" applyFill="1" applyBorder="1" applyAlignment="1">
      <alignment horizontal="left" vertical="center"/>
    </xf>
    <xf numFmtId="2" fontId="39" fillId="2" borderId="7" xfId="0" applyNumberFormat="1" applyFont="1" applyFill="1" applyBorder="1" applyAlignment="1">
      <alignment horizontal="left" vertical="center"/>
    </xf>
    <xf numFmtId="49" fontId="39" fillId="2" borderId="21" xfId="0" applyNumberFormat="1" applyFont="1" applyFill="1" applyBorder="1" applyAlignment="1">
      <alignment horizontal="right" vertical="center"/>
    </xf>
    <xf numFmtId="49" fontId="39" fillId="2" borderId="18" xfId="0" applyNumberFormat="1" applyFont="1" applyFill="1" applyBorder="1" applyAlignment="1">
      <alignment horizontal="left" vertical="center"/>
    </xf>
    <xf numFmtId="49" fontId="39" fillId="2" borderId="18" xfId="0" applyNumberFormat="1" applyFont="1" applyFill="1" applyBorder="1" applyAlignment="1">
      <alignment horizontal="center" vertical="center"/>
    </xf>
    <xf numFmtId="0" fontId="39" fillId="2" borderId="20" xfId="0" applyNumberFormat="1" applyFont="1" applyFill="1" applyBorder="1" applyAlignment="1">
      <alignment horizontal="left" vertical="center" wrapText="1"/>
    </xf>
    <xf numFmtId="0" fontId="39" fillId="2" borderId="9" xfId="0" applyNumberFormat="1" applyFont="1" applyFill="1" applyBorder="1" applyAlignment="1">
      <alignment horizontal="left" vertical="center" wrapText="1"/>
    </xf>
    <xf numFmtId="49" fontId="49" fillId="2" borderId="9" xfId="0" applyNumberFormat="1" applyFont="1" applyFill="1" applyBorder="1" applyAlignment="1">
      <alignment vertical="center" wrapText="1"/>
    </xf>
    <xf numFmtId="0" fontId="42" fillId="13" borderId="1" xfId="0" applyNumberFormat="1" applyFont="1" applyFill="1" applyBorder="1" applyAlignment="1">
      <alignment horizontal="center" vertical="center"/>
    </xf>
    <xf numFmtId="1" fontId="42" fillId="16" borderId="2" xfId="0" applyNumberFormat="1" applyFont="1" applyFill="1" applyBorder="1" applyAlignment="1">
      <alignment horizontal="center" vertical="center"/>
    </xf>
    <xf numFmtId="2" fontId="39" fillId="23" borderId="1" xfId="0" applyNumberFormat="1" applyFont="1" applyFill="1" applyBorder="1" applyAlignment="1">
      <alignment horizontal="center" vertical="center"/>
    </xf>
    <xf numFmtId="0" fontId="39" fillId="2" borderId="1" xfId="0" applyFont="1" applyFill="1" applyBorder="1" applyAlignment="1">
      <alignment horizontal="center" vertical="center"/>
    </xf>
    <xf numFmtId="1" fontId="39" fillId="2" borderId="8" xfId="0" applyNumberFormat="1" applyFont="1" applyFill="1" applyBorder="1" applyAlignment="1">
      <alignment horizontal="center" vertical="center" wrapText="1"/>
    </xf>
    <xf numFmtId="1" fontId="39" fillId="2" borderId="8" xfId="0" applyNumberFormat="1" applyFont="1" applyFill="1" applyBorder="1" applyAlignment="1">
      <alignment horizontal="left" vertical="center" wrapText="1"/>
    </xf>
    <xf numFmtId="49" fontId="39" fillId="2" borderId="21" xfId="0" applyNumberFormat="1" applyFont="1" applyFill="1" applyBorder="1" applyAlignment="1">
      <alignment horizontal="right" vertical="center" wrapText="1"/>
    </xf>
    <xf numFmtId="49" fontId="39" fillId="0" borderId="18" xfId="0" applyNumberFormat="1" applyFont="1" applyFill="1" applyBorder="1" applyAlignment="1">
      <alignment horizontal="left" vertical="center"/>
    </xf>
    <xf numFmtId="49" fontId="39" fillId="0" borderId="33" xfId="0" applyNumberFormat="1" applyFont="1" applyFill="1" applyBorder="1" applyAlignment="1">
      <alignment horizontal="center" vertical="center" wrapText="1"/>
    </xf>
    <xf numFmtId="0" fontId="39" fillId="0" borderId="20" xfId="0" applyNumberFormat="1" applyFont="1" applyFill="1" applyBorder="1" applyAlignment="1">
      <alignment horizontal="left" vertical="center" wrapText="1"/>
    </xf>
    <xf numFmtId="0" fontId="40" fillId="0" borderId="14" xfId="0" applyFont="1" applyFill="1" applyBorder="1" applyAlignment="1">
      <alignment horizontal="center" vertical="center"/>
    </xf>
    <xf numFmtId="0" fontId="50" fillId="2" borderId="13" xfId="0" applyFont="1" applyFill="1" applyBorder="1" applyAlignment="1">
      <alignment horizontal="left" vertical="center"/>
    </xf>
    <xf numFmtId="1" fontId="39" fillId="2" borderId="7" xfId="0" applyNumberFormat="1" applyFont="1" applyFill="1" applyBorder="1" applyAlignment="1">
      <alignment horizontal="right" vertical="center" wrapText="1"/>
    </xf>
    <xf numFmtId="0" fontId="39" fillId="2" borderId="9" xfId="0" applyFont="1" applyFill="1" applyBorder="1" applyAlignment="1">
      <alignment horizontal="left" vertical="center"/>
    </xf>
    <xf numFmtId="49" fontId="39" fillId="2" borderId="33" xfId="0" applyNumberFormat="1" applyFont="1" applyFill="1" applyBorder="1" applyAlignment="1">
      <alignment horizontal="center" vertical="center" wrapText="1"/>
    </xf>
    <xf numFmtId="49" fontId="49" fillId="2" borderId="9" xfId="0" applyNumberFormat="1" applyFont="1" applyFill="1" applyBorder="1" applyAlignment="1">
      <alignment vertical="center"/>
    </xf>
    <xf numFmtId="0" fontId="51" fillId="0" borderId="1" xfId="0" applyNumberFormat="1" applyFont="1" applyFill="1" applyBorder="1" applyAlignment="1">
      <alignment horizontal="center" vertical="center"/>
    </xf>
    <xf numFmtId="0" fontId="42" fillId="16" borderId="2" xfId="0" applyFont="1" applyFill="1" applyBorder="1" applyAlignment="1">
      <alignment horizontal="center" vertical="center"/>
    </xf>
    <xf numFmtId="0" fontId="39" fillId="33" borderId="1" xfId="0" applyNumberFormat="1" applyFont="1" applyFill="1" applyBorder="1" applyAlignment="1">
      <alignment horizontal="left" vertical="center" wrapText="1"/>
    </xf>
    <xf numFmtId="1" fontId="39" fillId="2" borderId="7" xfId="0" applyNumberFormat="1" applyFont="1" applyFill="1" applyBorder="1" applyAlignment="1">
      <alignment horizontal="center" vertical="center"/>
    </xf>
    <xf numFmtId="0" fontId="39" fillId="0" borderId="0" xfId="0" applyFont="1" applyBorder="1" applyAlignment="1">
      <alignment vertical="center"/>
    </xf>
    <xf numFmtId="0" fontId="39" fillId="4" borderId="1" xfId="0" applyFont="1" applyFill="1" applyBorder="1" applyAlignment="1">
      <alignment vertical="center"/>
    </xf>
    <xf numFmtId="0" fontId="39" fillId="2" borderId="14" xfId="0" applyNumberFormat="1" applyFont="1" applyFill="1" applyBorder="1" applyAlignment="1">
      <alignment horizontal="center" vertical="center"/>
    </xf>
    <xf numFmtId="0" fontId="39" fillId="2" borderId="15" xfId="0" applyNumberFormat="1" applyFont="1" applyFill="1" applyBorder="1" applyAlignment="1">
      <alignment horizontal="center" vertical="center" wrapText="1"/>
    </xf>
    <xf numFmtId="0" fontId="39" fillId="2" borderId="13" xfId="0" applyNumberFormat="1" applyFont="1" applyFill="1" applyBorder="1" applyAlignment="1">
      <alignment horizontal="center" vertical="center"/>
    </xf>
    <xf numFmtId="1" fontId="40" fillId="2" borderId="7" xfId="0" applyNumberFormat="1" applyFont="1" applyFill="1" applyBorder="1" applyAlignment="1">
      <alignment horizontal="right" vertical="center"/>
    </xf>
    <xf numFmtId="2" fontId="50" fillId="2" borderId="1" xfId="0" applyNumberFormat="1" applyFont="1" applyFill="1" applyBorder="1" applyAlignment="1">
      <alignment horizontal="center" vertical="center"/>
    </xf>
    <xf numFmtId="0" fontId="39" fillId="2" borderId="14" xfId="0" applyFont="1" applyFill="1" applyBorder="1" applyAlignment="1">
      <alignment vertical="center"/>
    </xf>
    <xf numFmtId="0" fontId="39" fillId="2" borderId="13" xfId="0" applyFont="1" applyFill="1" applyBorder="1" applyAlignment="1">
      <alignment vertical="center"/>
    </xf>
    <xf numFmtId="1" fontId="40" fillId="2" borderId="8" xfId="0" applyNumberFormat="1" applyFont="1" applyFill="1" applyBorder="1" applyAlignment="1">
      <alignment horizontal="center" vertical="center"/>
    </xf>
    <xf numFmtId="1" fontId="40" fillId="2" borderId="24" xfId="0" applyNumberFormat="1" applyFont="1" applyFill="1" applyBorder="1" applyAlignment="1">
      <alignment horizontal="center" vertical="center" wrapText="1"/>
    </xf>
    <xf numFmtId="0" fontId="39" fillId="2" borderId="13" xfId="0" applyNumberFormat="1" applyFont="1" applyFill="1" applyBorder="1" applyAlignment="1">
      <alignment horizontal="center" vertical="center" wrapText="1"/>
    </xf>
    <xf numFmtId="0" fontId="39" fillId="2" borderId="8" xfId="0" applyNumberFormat="1" applyFont="1" applyFill="1" applyBorder="1" applyAlignment="1">
      <alignment horizontal="center" vertical="center" wrapText="1"/>
    </xf>
    <xf numFmtId="0" fontId="39" fillId="2" borderId="9" xfId="0" applyNumberFormat="1" applyFont="1" applyFill="1" applyBorder="1" applyAlignment="1">
      <alignment horizontal="center" vertical="center"/>
    </xf>
    <xf numFmtId="0" fontId="39" fillId="2" borderId="12" xfId="0" applyNumberFormat="1" applyFont="1" applyFill="1" applyBorder="1" applyAlignment="1">
      <alignment horizontal="left" vertical="center" wrapText="1"/>
    </xf>
    <xf numFmtId="0" fontId="39" fillId="16" borderId="25" xfId="0" applyNumberFormat="1" applyFont="1" applyFill="1" applyBorder="1" applyAlignment="1">
      <alignment vertical="center" wrapText="1"/>
    </xf>
    <xf numFmtId="0" fontId="39" fillId="2" borderId="24" xfId="0" applyNumberFormat="1" applyFont="1" applyFill="1" applyBorder="1" applyAlignment="1">
      <alignment horizontal="left" vertical="center" wrapText="1"/>
    </xf>
    <xf numFmtId="0" fontId="39" fillId="2" borderId="20" xfId="0" applyNumberFormat="1" applyFont="1" applyFill="1" applyBorder="1" applyAlignment="1">
      <alignment horizontal="right" vertical="center" wrapText="1"/>
    </xf>
    <xf numFmtId="0" fontId="39" fillId="2" borderId="32" xfId="0" applyNumberFormat="1" applyFont="1" applyFill="1" applyBorder="1" applyAlignment="1">
      <alignment horizontal="center" vertical="center" wrapText="1"/>
    </xf>
    <xf numFmtId="0" fontId="39" fillId="2" borderId="8" xfId="0" applyFont="1" applyFill="1" applyBorder="1" applyAlignment="1">
      <alignment vertical="center"/>
    </xf>
    <xf numFmtId="0" fontId="15"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left" vertical="center" wrapText="1"/>
    </xf>
    <xf numFmtId="2" fontId="15" fillId="16" borderId="1" xfId="0" applyNumberFormat="1" applyFont="1" applyFill="1" applyBorder="1" applyAlignment="1">
      <alignment horizontal="left" vertical="center"/>
    </xf>
    <xf numFmtId="1" fontId="15" fillId="16" borderId="1" xfId="0" applyNumberFormat="1" applyFont="1" applyFill="1" applyBorder="1" applyAlignment="1">
      <alignment horizontal="center" vertical="center"/>
    </xf>
    <xf numFmtId="49" fontId="15" fillId="16" borderId="1" xfId="0" applyNumberFormat="1" applyFont="1" applyFill="1" applyBorder="1" applyAlignment="1">
      <alignment vertical="center"/>
    </xf>
    <xf numFmtId="0" fontId="62" fillId="16" borderId="1" xfId="0" applyNumberFormat="1" applyFont="1" applyFill="1" applyBorder="1" applyAlignment="1">
      <alignment horizontal="left" vertical="center" wrapText="1"/>
    </xf>
    <xf numFmtId="0" fontId="36" fillId="16" borderId="1" xfId="0" applyNumberFormat="1" applyFont="1" applyFill="1" applyBorder="1" applyAlignment="1">
      <alignment horizontal="center" vertical="center" wrapText="1"/>
    </xf>
    <xf numFmtId="0" fontId="15" fillId="16" borderId="1" xfId="0" applyNumberFormat="1" applyFont="1" applyFill="1" applyBorder="1" applyAlignment="1">
      <alignment vertical="center" wrapText="1"/>
    </xf>
    <xf numFmtId="2" fontId="15" fillId="2" borderId="30" xfId="0" applyNumberFormat="1" applyFont="1" applyFill="1" applyBorder="1" applyAlignment="1">
      <alignment horizontal="center" vertical="center"/>
    </xf>
    <xf numFmtId="2" fontId="15" fillId="2" borderId="31" xfId="0" applyNumberFormat="1" applyFont="1" applyFill="1" applyBorder="1" applyAlignment="1">
      <alignment vertical="center"/>
    </xf>
    <xf numFmtId="0" fontId="15" fillId="16" borderId="1" xfId="0" applyFont="1" applyFill="1" applyBorder="1" applyAlignment="1">
      <alignment vertical="center"/>
    </xf>
    <xf numFmtId="0" fontId="36" fillId="16" borderId="2" xfId="0" applyFont="1" applyFill="1" applyBorder="1" applyAlignment="1">
      <alignment vertical="center" wrapText="1"/>
    </xf>
    <xf numFmtId="0" fontId="30" fillId="0" borderId="1" xfId="0" applyFont="1" applyFill="1" applyBorder="1" applyAlignment="1">
      <alignment vertical="center"/>
    </xf>
    <xf numFmtId="1" fontId="15" fillId="2" borderId="1" xfId="0" applyNumberFormat="1" applyFont="1" applyFill="1" applyBorder="1" applyAlignment="1">
      <alignment horizontal="center" vertical="center"/>
    </xf>
    <xf numFmtId="0" fontId="15" fillId="2" borderId="8" xfId="0" applyNumberFormat="1" applyFont="1" applyFill="1" applyBorder="1" applyAlignment="1">
      <alignment horizontal="right" vertical="center"/>
    </xf>
    <xf numFmtId="0" fontId="15" fillId="2" borderId="18" xfId="0" applyNumberFormat="1" applyFont="1" applyFill="1" applyBorder="1" applyAlignment="1">
      <alignment horizontal="left" vertical="center"/>
    </xf>
    <xf numFmtId="0" fontId="15" fillId="2" borderId="20" xfId="0" applyNumberFormat="1" applyFont="1" applyFill="1" applyBorder="1" applyAlignment="1">
      <alignment horizontal="left" vertical="center"/>
    </xf>
    <xf numFmtId="2" fontId="15" fillId="0" borderId="1" xfId="0" applyNumberFormat="1" applyFont="1" applyFill="1" applyBorder="1" applyAlignment="1">
      <alignment horizontal="center" vertical="center"/>
    </xf>
    <xf numFmtId="2" fontId="15" fillId="0" borderId="7" xfId="0" applyNumberFormat="1" applyFont="1" applyFill="1" applyBorder="1" applyAlignment="1">
      <alignment horizontal="center" vertical="center"/>
    </xf>
    <xf numFmtId="2" fontId="15" fillId="0" borderId="18" xfId="0" applyNumberFormat="1" applyFont="1" applyFill="1" applyBorder="1" applyAlignment="1">
      <alignment horizontal="center" vertical="center"/>
    </xf>
    <xf numFmtId="2" fontId="15" fillId="0" borderId="21" xfId="0" applyNumberFormat="1" applyFont="1" applyFill="1" applyBorder="1" applyAlignment="1">
      <alignment horizontal="center" vertical="center"/>
    </xf>
    <xf numFmtId="2" fontId="15" fillId="0" borderId="18" xfId="0" applyNumberFormat="1" applyFont="1" applyFill="1" applyBorder="1" applyAlignment="1">
      <alignment horizontal="left" vertical="center"/>
    </xf>
    <xf numFmtId="1" fontId="15" fillId="0" borderId="20" xfId="0" applyNumberFormat="1" applyFont="1" applyFill="1" applyBorder="1" applyAlignment="1">
      <alignment horizontal="left" vertical="center"/>
    </xf>
    <xf numFmtId="0" fontId="8" fillId="7" borderId="14" xfId="0" applyFont="1" applyFill="1" applyBorder="1" applyAlignment="1">
      <alignment horizontal="center" vertical="center"/>
    </xf>
    <xf numFmtId="0" fontId="15" fillId="2" borderId="13" xfId="0" applyFont="1" applyFill="1" applyBorder="1" applyAlignment="1">
      <alignment horizontal="left" vertical="center"/>
    </xf>
    <xf numFmtId="1" fontId="15" fillId="2" borderId="8" xfId="0" applyNumberFormat="1" applyFont="1" applyFill="1" applyBorder="1" applyAlignment="1">
      <alignment horizontal="right" vertical="center"/>
    </xf>
    <xf numFmtId="2" fontId="15" fillId="2" borderId="8" xfId="0" applyNumberFormat="1" applyFont="1" applyFill="1" applyBorder="1" applyAlignment="1">
      <alignment horizontal="left" vertical="center"/>
    </xf>
    <xf numFmtId="1" fontId="15" fillId="2" borderId="32" xfId="0" applyNumberFormat="1" applyFont="1" applyFill="1" applyBorder="1" applyAlignment="1">
      <alignment horizontal="left" vertical="center"/>
    </xf>
    <xf numFmtId="2" fontId="15" fillId="2" borderId="7" xfId="0" applyNumberFormat="1" applyFont="1" applyFill="1" applyBorder="1" applyAlignment="1">
      <alignment horizontal="left" vertical="center"/>
    </xf>
    <xf numFmtId="49" fontId="15" fillId="2" borderId="21" xfId="0" applyNumberFormat="1" applyFont="1" applyFill="1" applyBorder="1" applyAlignment="1">
      <alignment horizontal="right" vertical="center"/>
    </xf>
    <xf numFmtId="49" fontId="15" fillId="2" borderId="18" xfId="0" applyNumberFormat="1" applyFont="1" applyFill="1" applyBorder="1" applyAlignment="1">
      <alignment horizontal="left" vertical="center"/>
    </xf>
    <xf numFmtId="49" fontId="15" fillId="2" borderId="18" xfId="0" applyNumberFormat="1" applyFont="1" applyFill="1" applyBorder="1" applyAlignment="1">
      <alignment horizontal="center" vertical="center"/>
    </xf>
    <xf numFmtId="0" fontId="15" fillId="2" borderId="20" xfId="0" applyNumberFormat="1" applyFont="1" applyFill="1" applyBorder="1" applyAlignment="1">
      <alignment horizontal="left" vertical="center" wrapText="1"/>
    </xf>
    <xf numFmtId="0" fontId="15" fillId="2" borderId="9" xfId="0" applyNumberFormat="1" applyFont="1" applyFill="1" applyBorder="1" applyAlignment="1">
      <alignment horizontal="left" vertical="center" wrapText="1"/>
    </xf>
    <xf numFmtId="49" fontId="63" fillId="2" borderId="9" xfId="0" applyNumberFormat="1" applyFont="1" applyFill="1" applyBorder="1" applyAlignment="1">
      <alignment vertical="center" wrapText="1"/>
    </xf>
    <xf numFmtId="0" fontId="36" fillId="13" borderId="1" xfId="0" applyNumberFormat="1" applyFont="1" applyFill="1" applyBorder="1" applyAlignment="1">
      <alignment horizontal="center" vertical="center"/>
    </xf>
    <xf numFmtId="1" fontId="15" fillId="2" borderId="1" xfId="0" applyNumberFormat="1" applyFont="1" applyFill="1" applyBorder="1" applyAlignment="1">
      <alignment horizontal="center" vertical="center" wrapText="1"/>
    </xf>
    <xf numFmtId="1" fontId="36" fillId="16" borderId="2" xfId="0" applyNumberFormat="1" applyFont="1" applyFill="1" applyBorder="1" applyAlignment="1">
      <alignment horizontal="center" vertical="center"/>
    </xf>
    <xf numFmtId="2" fontId="15" fillId="23"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1" fontId="15" fillId="2" borderId="8" xfId="0" applyNumberFormat="1" applyFont="1" applyFill="1" applyBorder="1" applyAlignment="1">
      <alignment horizontal="right" vertical="center" wrapText="1"/>
    </xf>
    <xf numFmtId="1" fontId="15" fillId="2" borderId="8" xfId="0" applyNumberFormat="1" applyFont="1" applyFill="1" applyBorder="1" applyAlignment="1">
      <alignment horizontal="left" vertical="center" wrapText="1"/>
    </xf>
    <xf numFmtId="49" fontId="15" fillId="2" borderId="21" xfId="0" applyNumberFormat="1" applyFont="1" applyFill="1" applyBorder="1" applyAlignment="1">
      <alignment horizontal="right" vertical="center" wrapText="1"/>
    </xf>
    <xf numFmtId="49" fontId="15" fillId="0" borderId="18" xfId="0" applyNumberFormat="1" applyFont="1" applyFill="1" applyBorder="1" applyAlignment="1">
      <alignment horizontal="left" vertical="center"/>
    </xf>
    <xf numFmtId="49" fontId="15" fillId="0" borderId="33" xfId="0" applyNumberFormat="1" applyFont="1" applyFill="1" applyBorder="1" applyAlignment="1">
      <alignment horizontal="center" vertical="center" wrapText="1"/>
    </xf>
    <xf numFmtId="0" fontId="15" fillId="0" borderId="20" xfId="0" applyNumberFormat="1" applyFont="1" applyFill="1" applyBorder="1" applyAlignment="1">
      <alignment horizontal="left" vertical="center" wrapText="1"/>
    </xf>
    <xf numFmtId="0" fontId="20" fillId="2" borderId="13" xfId="0" applyFont="1" applyFill="1" applyBorder="1" applyAlignment="1">
      <alignment horizontal="left" vertical="center"/>
    </xf>
    <xf numFmtId="1" fontId="15" fillId="2" borderId="7" xfId="0" applyNumberFormat="1" applyFont="1" applyFill="1" applyBorder="1" applyAlignment="1">
      <alignment horizontal="right" vertical="center" wrapText="1"/>
    </xf>
    <xf numFmtId="0" fontId="15" fillId="2" borderId="9" xfId="0" applyFont="1" applyFill="1" applyBorder="1" applyAlignment="1">
      <alignment horizontal="left" vertical="center"/>
    </xf>
    <xf numFmtId="49" fontId="15" fillId="2" borderId="33" xfId="0" applyNumberFormat="1" applyFont="1" applyFill="1" applyBorder="1" applyAlignment="1">
      <alignment horizontal="center" vertical="center" wrapText="1"/>
    </xf>
    <xf numFmtId="49" fontId="63" fillId="2" borderId="9" xfId="0" applyNumberFormat="1" applyFont="1" applyFill="1" applyBorder="1" applyAlignment="1">
      <alignment vertical="center"/>
    </xf>
    <xf numFmtId="0" fontId="64" fillId="4" borderId="1" xfId="0" applyNumberFormat="1" applyFont="1" applyFill="1" applyBorder="1" applyAlignment="1">
      <alignment horizontal="center" vertical="center"/>
    </xf>
    <xf numFmtId="0" fontId="36" fillId="16" borderId="2" xfId="0" applyFont="1" applyFill="1" applyBorder="1" applyAlignment="1">
      <alignment horizontal="center" vertical="center"/>
    </xf>
    <xf numFmtId="0" fontId="15" fillId="33" borderId="1" xfId="0" applyNumberFormat="1" applyFont="1" applyFill="1" applyBorder="1" applyAlignment="1">
      <alignment horizontal="left" vertical="center" wrapText="1"/>
    </xf>
    <xf numFmtId="1" fontId="15" fillId="2" borderId="7" xfId="0" applyNumberFormat="1" applyFont="1" applyFill="1" applyBorder="1" applyAlignment="1">
      <alignment horizontal="center" vertical="center"/>
    </xf>
    <xf numFmtId="0" fontId="15" fillId="0" borderId="0" xfId="0" applyFont="1" applyBorder="1" applyAlignment="1">
      <alignment vertical="center"/>
    </xf>
    <xf numFmtId="0" fontId="15" fillId="2" borderId="1" xfId="0" applyFont="1" applyFill="1" applyBorder="1" applyAlignment="1">
      <alignment vertical="center"/>
    </xf>
    <xf numFmtId="0" fontId="15" fillId="2" borderId="1" xfId="0" applyNumberFormat="1" applyFont="1" applyFill="1" applyBorder="1" applyAlignment="1">
      <alignment horizontal="center" vertical="center"/>
    </xf>
    <xf numFmtId="0" fontId="15" fillId="2" borderId="14" xfId="0" applyNumberFormat="1" applyFont="1" applyFill="1" applyBorder="1" applyAlignment="1">
      <alignment horizontal="center" vertical="center"/>
    </xf>
    <xf numFmtId="0" fontId="15" fillId="2" borderId="15"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wrapText="1"/>
    </xf>
    <xf numFmtId="1" fontId="8" fillId="2" borderId="7" xfId="0" applyNumberFormat="1" applyFont="1" applyFill="1" applyBorder="1" applyAlignment="1">
      <alignment horizontal="right" vertical="center"/>
    </xf>
    <xf numFmtId="2" fontId="20" fillId="2" borderId="1" xfId="0" applyNumberFormat="1" applyFont="1" applyFill="1" applyBorder="1" applyAlignment="1">
      <alignment horizontal="center" vertical="center"/>
    </xf>
    <xf numFmtId="0" fontId="15" fillId="2" borderId="14" xfId="0" applyFont="1" applyFill="1" applyBorder="1" applyAlignment="1">
      <alignment vertical="center"/>
    </xf>
    <xf numFmtId="0" fontId="15" fillId="2" borderId="13" xfId="0" applyFont="1" applyFill="1" applyBorder="1" applyAlignment="1">
      <alignment vertical="center"/>
    </xf>
    <xf numFmtId="1" fontId="8" fillId="2" borderId="8" xfId="0" applyNumberFormat="1" applyFont="1" applyFill="1" applyBorder="1" applyAlignment="1">
      <alignment horizontal="center" vertical="center"/>
    </xf>
    <xf numFmtId="1" fontId="8" fillId="2" borderId="24"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xf>
    <xf numFmtId="0" fontId="15" fillId="2" borderId="9" xfId="0" applyNumberFormat="1" applyFont="1" applyFill="1" applyBorder="1" applyAlignment="1">
      <alignment horizontal="center" vertical="center"/>
    </xf>
    <xf numFmtId="0" fontId="15" fillId="2" borderId="1" xfId="0" applyNumberFormat="1" applyFont="1" applyFill="1" applyBorder="1" applyAlignment="1">
      <alignment horizontal="left" vertical="center"/>
    </xf>
    <xf numFmtId="0" fontId="15" fillId="2" borderId="1" xfId="0" applyNumberFormat="1" applyFont="1" applyFill="1" applyBorder="1" applyAlignment="1">
      <alignment vertical="center"/>
    </xf>
    <xf numFmtId="0" fontId="15" fillId="2" borderId="12" xfId="0" applyNumberFormat="1" applyFont="1" applyFill="1" applyBorder="1" applyAlignment="1">
      <alignment horizontal="left" vertical="center" wrapText="1"/>
    </xf>
    <xf numFmtId="0" fontId="15" fillId="16" borderId="25" xfId="0" applyNumberFormat="1" applyFont="1" applyFill="1" applyBorder="1" applyAlignment="1">
      <alignment vertical="center" wrapText="1"/>
    </xf>
    <xf numFmtId="0" fontId="15" fillId="2" borderId="24" xfId="0" applyNumberFormat="1" applyFont="1" applyFill="1" applyBorder="1" applyAlignment="1">
      <alignment horizontal="left" vertical="center" wrapText="1"/>
    </xf>
    <xf numFmtId="0" fontId="15" fillId="2" borderId="20" xfId="0" applyNumberFormat="1" applyFont="1" applyFill="1" applyBorder="1" applyAlignment="1">
      <alignment horizontal="right" vertical="center" wrapText="1"/>
    </xf>
    <xf numFmtId="0" fontId="15" fillId="2" borderId="32"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xf>
    <xf numFmtId="0" fontId="15" fillId="2" borderId="8" xfId="0" applyFont="1" applyFill="1" applyBorder="1" applyAlignment="1">
      <alignment vertical="center"/>
    </xf>
    <xf numFmtId="0" fontId="15" fillId="14" borderId="8" xfId="0" applyFont="1" applyFill="1" applyBorder="1" applyAlignment="1">
      <alignment vertical="center"/>
    </xf>
    <xf numFmtId="0" fontId="15" fillId="4" borderId="1" xfId="0" applyFont="1" applyFill="1" applyBorder="1" applyAlignment="1">
      <alignment vertical="center"/>
    </xf>
    <xf numFmtId="0" fontId="15" fillId="2" borderId="8" xfId="0" applyNumberFormat="1" applyFont="1" applyFill="1" applyBorder="1" applyAlignment="1">
      <alignment horizontal="center" vertical="center" wrapText="1"/>
    </xf>
    <xf numFmtId="0" fontId="15" fillId="2" borderId="7" xfId="0" applyNumberFormat="1" applyFont="1" applyFill="1" applyBorder="1" applyAlignment="1">
      <alignment horizontal="right" vertical="center"/>
    </xf>
    <xf numFmtId="2" fontId="15" fillId="2" borderId="1" xfId="0" applyNumberFormat="1" applyFont="1" applyFill="1" applyBorder="1" applyAlignment="1">
      <alignment horizontal="left" vertical="center"/>
    </xf>
    <xf numFmtId="0" fontId="15" fillId="23" borderId="20" xfId="0" applyNumberFormat="1" applyFont="1" applyFill="1" applyBorder="1" applyAlignment="1">
      <alignment horizontal="left" vertical="center" wrapText="1"/>
    </xf>
    <xf numFmtId="49" fontId="63" fillId="2" borderId="13" xfId="0" applyNumberFormat="1" applyFont="1" applyFill="1" applyBorder="1" applyAlignment="1">
      <alignment vertical="center" wrapText="1"/>
    </xf>
    <xf numFmtId="0" fontId="15" fillId="24" borderId="8" xfId="0" applyFont="1" applyFill="1" applyBorder="1" applyAlignment="1">
      <alignment vertical="center"/>
    </xf>
    <xf numFmtId="0" fontId="39" fillId="2" borderId="7" xfId="0" applyNumberFormat="1" applyFont="1" applyFill="1" applyBorder="1" applyAlignment="1">
      <alignment horizontal="right" vertical="center"/>
    </xf>
    <xf numFmtId="0" fontId="39" fillId="2" borderId="33" xfId="0" applyNumberFormat="1" applyFont="1" applyFill="1" applyBorder="1" applyAlignment="1">
      <alignment horizontal="right" vertical="center"/>
    </xf>
    <xf numFmtId="49" fontId="49" fillId="2" borderId="1" xfId="0" applyNumberFormat="1" applyFont="1" applyFill="1" applyBorder="1" applyAlignment="1">
      <alignment vertical="center" wrapText="1"/>
    </xf>
    <xf numFmtId="2" fontId="39" fillId="0" borderId="0" xfId="0" applyNumberFormat="1" applyFont="1" applyFill="1" applyBorder="1" applyAlignment="1">
      <alignment horizontal="left" vertical="center"/>
    </xf>
    <xf numFmtId="49" fontId="39" fillId="2" borderId="0" xfId="0" applyNumberFormat="1" applyFont="1" applyFill="1" applyBorder="1" applyAlignment="1">
      <alignment horizontal="left" vertical="center"/>
    </xf>
    <xf numFmtId="0" fontId="39" fillId="16" borderId="8" xfId="0" applyFont="1" applyFill="1" applyBorder="1" applyAlignment="1">
      <alignment vertical="center"/>
    </xf>
    <xf numFmtId="0" fontId="39" fillId="17" borderId="8" xfId="0" applyFont="1" applyFill="1" applyBorder="1" applyAlignment="1">
      <alignment vertical="center"/>
    </xf>
    <xf numFmtId="0" fontId="39" fillId="17" borderId="1" xfId="0" applyNumberFormat="1" applyFont="1" applyFill="1" applyBorder="1" applyAlignment="1">
      <alignment horizontal="center" vertical="center" wrapText="1"/>
    </xf>
    <xf numFmtId="0" fontId="39" fillId="17" borderId="1" xfId="0" applyNumberFormat="1" applyFont="1" applyFill="1" applyBorder="1" applyAlignment="1">
      <alignment horizontal="left" vertical="center" wrapText="1"/>
    </xf>
    <xf numFmtId="49" fontId="39" fillId="17" borderId="1" xfId="0" applyNumberFormat="1" applyFont="1" applyFill="1" applyBorder="1" applyAlignment="1">
      <alignment horizontal="center" vertical="center" wrapText="1"/>
    </xf>
    <xf numFmtId="49" fontId="39" fillId="17" borderId="1" xfId="0" applyNumberFormat="1" applyFont="1" applyFill="1" applyBorder="1" applyAlignment="1">
      <alignment horizontal="left" vertical="center" wrapText="1"/>
    </xf>
    <xf numFmtId="2" fontId="39" fillId="17" borderId="30" xfId="0" applyNumberFormat="1" applyFont="1" applyFill="1" applyBorder="1" applyAlignment="1">
      <alignment horizontal="center" vertical="center"/>
    </xf>
    <xf numFmtId="2" fontId="39" fillId="17" borderId="31" xfId="0" applyNumberFormat="1" applyFont="1" applyFill="1" applyBorder="1" applyAlignment="1">
      <alignment vertical="center"/>
    </xf>
    <xf numFmtId="0" fontId="42" fillId="17" borderId="2" xfId="0" applyFont="1" applyFill="1" applyBorder="1" applyAlignment="1">
      <alignment vertical="center" wrapText="1"/>
    </xf>
    <xf numFmtId="0" fontId="48" fillId="17" borderId="1" xfId="0" applyFont="1" applyFill="1" applyBorder="1" applyAlignment="1">
      <alignment vertical="center"/>
    </xf>
    <xf numFmtId="1" fontId="39" fillId="17" borderId="1" xfId="0" applyNumberFormat="1" applyFont="1" applyFill="1" applyBorder="1" applyAlignment="1">
      <alignment horizontal="center" vertical="center"/>
    </xf>
    <xf numFmtId="0" fontId="39" fillId="17" borderId="33" xfId="0" applyNumberFormat="1" applyFont="1" applyFill="1" applyBorder="1" applyAlignment="1">
      <alignment horizontal="right" vertical="center"/>
    </xf>
    <xf numFmtId="0" fontId="39" fillId="17" borderId="18" xfId="0" applyNumberFormat="1" applyFont="1" applyFill="1" applyBorder="1" applyAlignment="1">
      <alignment horizontal="left" vertical="center"/>
    </xf>
    <xf numFmtId="0" fontId="39" fillId="17" borderId="20" xfId="0" applyNumberFormat="1" applyFont="1" applyFill="1" applyBorder="1" applyAlignment="1">
      <alignment horizontal="left" vertical="center"/>
    </xf>
    <xf numFmtId="2" fontId="39" fillId="17" borderId="1" xfId="0" applyNumberFormat="1" applyFont="1" applyFill="1" applyBorder="1" applyAlignment="1">
      <alignment horizontal="center" vertical="center"/>
    </xf>
    <xf numFmtId="2" fontId="39" fillId="17" borderId="7" xfId="0" applyNumberFormat="1" applyFont="1" applyFill="1" applyBorder="1" applyAlignment="1">
      <alignment horizontal="center" vertical="center"/>
    </xf>
    <xf numFmtId="2" fontId="39" fillId="17" borderId="18" xfId="0" applyNumberFormat="1" applyFont="1" applyFill="1" applyBorder="1" applyAlignment="1">
      <alignment horizontal="center" vertical="center"/>
    </xf>
    <xf numFmtId="2" fontId="39" fillId="17" borderId="21" xfId="0" applyNumberFormat="1" applyFont="1" applyFill="1" applyBorder="1" applyAlignment="1">
      <alignment horizontal="center" vertical="center"/>
    </xf>
    <xf numFmtId="1" fontId="39" fillId="17" borderId="20" xfId="0" applyNumberFormat="1" applyFont="1" applyFill="1" applyBorder="1" applyAlignment="1">
      <alignment horizontal="left" vertical="center"/>
    </xf>
    <xf numFmtId="0" fontId="40" fillId="17" borderId="14" xfId="0" applyFont="1" applyFill="1" applyBorder="1" applyAlignment="1">
      <alignment horizontal="center" vertical="center"/>
    </xf>
    <xf numFmtId="0" fontId="39" fillId="17" borderId="13" xfId="0" applyFont="1" applyFill="1" applyBorder="1" applyAlignment="1">
      <alignment horizontal="left" vertical="center" wrapText="1"/>
    </xf>
    <xf numFmtId="1" fontId="39" fillId="17" borderId="8" xfId="0" applyNumberFormat="1" applyFont="1" applyFill="1" applyBorder="1" applyAlignment="1">
      <alignment horizontal="right" vertical="center"/>
    </xf>
    <xf numFmtId="2" fontId="39" fillId="17" borderId="8" xfId="0" applyNumberFormat="1" applyFont="1" applyFill="1" applyBorder="1" applyAlignment="1">
      <alignment horizontal="left" vertical="center"/>
    </xf>
    <xf numFmtId="1" fontId="39" fillId="17" borderId="32" xfId="0" applyNumberFormat="1" applyFont="1" applyFill="1" applyBorder="1" applyAlignment="1">
      <alignment horizontal="left" vertical="center"/>
    </xf>
    <xf numFmtId="2" fontId="39" fillId="17" borderId="1" xfId="0" applyNumberFormat="1" applyFont="1" applyFill="1" applyBorder="1" applyAlignment="1">
      <alignment horizontal="left" vertical="center"/>
    </xf>
    <xf numFmtId="2" fontId="39" fillId="17" borderId="7" xfId="0" applyNumberFormat="1" applyFont="1" applyFill="1" applyBorder="1" applyAlignment="1">
      <alignment horizontal="left" vertical="center"/>
    </xf>
    <xf numFmtId="49" fontId="39" fillId="17" borderId="21" xfId="0" applyNumberFormat="1" applyFont="1" applyFill="1" applyBorder="1" applyAlignment="1">
      <alignment horizontal="right" vertical="center"/>
    </xf>
    <xf numFmtId="49" fontId="39" fillId="17" borderId="18" xfId="0" applyNumberFormat="1" applyFont="1" applyFill="1" applyBorder="1" applyAlignment="1">
      <alignment horizontal="center" vertical="center"/>
    </xf>
    <xf numFmtId="49" fontId="39" fillId="17" borderId="18" xfId="0" applyNumberFormat="1" applyFont="1" applyFill="1" applyBorder="1" applyAlignment="1">
      <alignment horizontal="left" vertical="center"/>
    </xf>
    <xf numFmtId="0" fontId="39" fillId="17" borderId="20" xfId="0" applyNumberFormat="1" applyFont="1" applyFill="1" applyBorder="1" applyAlignment="1">
      <alignment horizontal="left" vertical="center" wrapText="1"/>
    </xf>
    <xf numFmtId="0" fontId="39" fillId="17" borderId="9" xfId="0" applyNumberFormat="1" applyFont="1" applyFill="1" applyBorder="1" applyAlignment="1">
      <alignment horizontal="left" vertical="center" wrapText="1"/>
    </xf>
    <xf numFmtId="49" fontId="49" fillId="17" borderId="1" xfId="0" applyNumberFormat="1" applyFont="1" applyFill="1" applyBorder="1" applyAlignment="1">
      <alignment vertical="center" wrapText="1"/>
    </xf>
    <xf numFmtId="0" fontId="42" fillId="17" borderId="1" xfId="0" applyNumberFormat="1" applyFont="1" applyFill="1" applyBorder="1" applyAlignment="1">
      <alignment horizontal="center" vertical="center"/>
    </xf>
    <xf numFmtId="1" fontId="39" fillId="17" borderId="1" xfId="0" applyNumberFormat="1" applyFont="1" applyFill="1" applyBorder="1" applyAlignment="1">
      <alignment horizontal="center" vertical="center" wrapText="1"/>
    </xf>
    <xf numFmtId="1" fontId="42" fillId="17" borderId="2" xfId="0" applyNumberFormat="1" applyFont="1" applyFill="1" applyBorder="1" applyAlignment="1">
      <alignment horizontal="center" vertical="center"/>
    </xf>
    <xf numFmtId="0" fontId="39" fillId="17" borderId="1" xfId="0" applyFont="1" applyFill="1" applyBorder="1" applyAlignment="1">
      <alignment horizontal="center" vertical="center"/>
    </xf>
    <xf numFmtId="1" fontId="39" fillId="17" borderId="8" xfId="0" applyNumberFormat="1" applyFont="1" applyFill="1" applyBorder="1" applyAlignment="1">
      <alignment horizontal="center" vertical="center" wrapText="1"/>
    </xf>
    <xf numFmtId="1" fontId="39" fillId="17" borderId="8" xfId="0" applyNumberFormat="1" applyFont="1" applyFill="1" applyBorder="1" applyAlignment="1">
      <alignment horizontal="left" vertical="center" wrapText="1"/>
    </xf>
    <xf numFmtId="49" fontId="39" fillId="17" borderId="21" xfId="0" applyNumberFormat="1" applyFont="1" applyFill="1" applyBorder="1" applyAlignment="1">
      <alignment horizontal="right" vertical="center" wrapText="1"/>
    </xf>
    <xf numFmtId="49" fontId="39" fillId="17" borderId="33" xfId="0" applyNumberFormat="1" applyFont="1" applyFill="1" applyBorder="1" applyAlignment="1">
      <alignment horizontal="center" vertical="center" wrapText="1"/>
    </xf>
    <xf numFmtId="0" fontId="50" fillId="17" borderId="13" xfId="0" applyFont="1" applyFill="1" applyBorder="1" applyAlignment="1">
      <alignment horizontal="left" vertical="center"/>
    </xf>
    <xf numFmtId="1" fontId="39" fillId="17" borderId="7" xfId="0" applyNumberFormat="1" applyFont="1" applyFill="1" applyBorder="1" applyAlignment="1">
      <alignment horizontal="right" vertical="center" wrapText="1"/>
    </xf>
    <xf numFmtId="0" fontId="39" fillId="17" borderId="9" xfId="0" applyFont="1" applyFill="1" applyBorder="1" applyAlignment="1">
      <alignment horizontal="left" vertical="center"/>
    </xf>
    <xf numFmtId="49" fontId="49" fillId="17" borderId="9" xfId="0" applyNumberFormat="1" applyFont="1" applyFill="1" applyBorder="1" applyAlignment="1">
      <alignment vertical="center"/>
    </xf>
    <xf numFmtId="0" fontId="51" fillId="17" borderId="1" xfId="0" applyNumberFormat="1" applyFont="1" applyFill="1" applyBorder="1" applyAlignment="1">
      <alignment horizontal="center" vertical="center"/>
    </xf>
    <xf numFmtId="0" fontId="42" fillId="17" borderId="2" xfId="0" applyFont="1" applyFill="1" applyBorder="1" applyAlignment="1">
      <alignment horizontal="center" vertical="center"/>
    </xf>
    <xf numFmtId="1" fontId="39" fillId="17" borderId="7" xfId="0" applyNumberFormat="1" applyFont="1" applyFill="1" applyBorder="1" applyAlignment="1">
      <alignment horizontal="center" vertical="center"/>
    </xf>
    <xf numFmtId="0" fontId="39" fillId="17" borderId="1" xfId="0" applyNumberFormat="1" applyFont="1" applyFill="1" applyBorder="1" applyAlignment="1">
      <alignment horizontal="center" vertical="center"/>
    </xf>
    <xf numFmtId="0" fontId="39" fillId="17" borderId="14" xfId="0" applyNumberFormat="1" applyFont="1" applyFill="1" applyBorder="1" applyAlignment="1">
      <alignment horizontal="center" vertical="center"/>
    </xf>
    <xf numFmtId="0" fontId="39" fillId="17" borderId="15" xfId="0" applyNumberFormat="1" applyFont="1" applyFill="1" applyBorder="1" applyAlignment="1">
      <alignment horizontal="center" vertical="center" wrapText="1"/>
    </xf>
    <xf numFmtId="0" fontId="39" fillId="17" borderId="13" xfId="0" applyNumberFormat="1" applyFont="1" applyFill="1" applyBorder="1" applyAlignment="1">
      <alignment horizontal="center" vertical="center"/>
    </xf>
    <xf numFmtId="1" fontId="40" fillId="17" borderId="7" xfId="0" applyNumberFormat="1" applyFont="1" applyFill="1" applyBorder="1" applyAlignment="1">
      <alignment horizontal="right" vertical="center"/>
    </xf>
    <xf numFmtId="2" fontId="50" fillId="17" borderId="1" xfId="0" applyNumberFormat="1" applyFont="1" applyFill="1" applyBorder="1" applyAlignment="1">
      <alignment horizontal="center" vertical="center"/>
    </xf>
    <xf numFmtId="0" fontId="39" fillId="17" borderId="14" xfId="0" applyFont="1" applyFill="1" applyBorder="1" applyAlignment="1">
      <alignment vertical="center"/>
    </xf>
    <xf numFmtId="0" fontId="39" fillId="17" borderId="13" xfId="0" applyFont="1" applyFill="1" applyBorder="1" applyAlignment="1">
      <alignment vertical="center"/>
    </xf>
    <xf numFmtId="1" fontId="40" fillId="17" borderId="8" xfId="0" applyNumberFormat="1" applyFont="1" applyFill="1" applyBorder="1" applyAlignment="1">
      <alignment horizontal="center" vertical="center"/>
    </xf>
    <xf numFmtId="1" fontId="40" fillId="17" borderId="24" xfId="0" applyNumberFormat="1" applyFont="1" applyFill="1" applyBorder="1" applyAlignment="1">
      <alignment horizontal="center" vertical="center" wrapText="1"/>
    </xf>
    <xf numFmtId="0" fontId="39" fillId="17" borderId="13" xfId="0" applyNumberFormat="1"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17" borderId="8" xfId="0" applyNumberFormat="1" applyFont="1" applyFill="1" applyBorder="1" applyAlignment="1">
      <alignment horizontal="center" vertical="center" wrapText="1"/>
    </xf>
    <xf numFmtId="0" fontId="39" fillId="17" borderId="9" xfId="0" applyNumberFormat="1" applyFont="1" applyFill="1" applyBorder="1" applyAlignment="1">
      <alignment horizontal="center" vertical="center"/>
    </xf>
    <xf numFmtId="0" fontId="39" fillId="17" borderId="1" xfId="0" applyNumberFormat="1" applyFont="1" applyFill="1" applyBorder="1" applyAlignment="1">
      <alignment horizontal="left" vertical="center"/>
    </xf>
    <xf numFmtId="0" fontId="39" fillId="17" borderId="1" xfId="0" applyNumberFormat="1" applyFont="1" applyFill="1" applyBorder="1" applyAlignment="1">
      <alignment vertical="center"/>
    </xf>
    <xf numFmtId="0" fontId="39" fillId="17" borderId="24" xfId="0" applyNumberFormat="1" applyFont="1" applyFill="1" applyBorder="1" applyAlignment="1">
      <alignment horizontal="left" vertical="center" wrapText="1"/>
    </xf>
    <xf numFmtId="0" fontId="39" fillId="17" borderId="25" xfId="0" applyNumberFormat="1" applyFont="1" applyFill="1" applyBorder="1" applyAlignment="1">
      <alignment vertical="center" wrapText="1"/>
    </xf>
    <xf numFmtId="49" fontId="39" fillId="17" borderId="0" xfId="0" applyNumberFormat="1" applyFont="1" applyFill="1" applyBorder="1" applyAlignment="1">
      <alignment horizontal="right" vertical="center"/>
    </xf>
    <xf numFmtId="0" fontId="39" fillId="17" borderId="0" xfId="0" applyFont="1" applyFill="1" applyBorder="1"/>
    <xf numFmtId="0" fontId="39" fillId="17" borderId="20" xfId="0" applyNumberFormat="1" applyFont="1" applyFill="1" applyBorder="1" applyAlignment="1">
      <alignment horizontal="right" vertical="center" wrapText="1"/>
    </xf>
    <xf numFmtId="0" fontId="39" fillId="17" borderId="32" xfId="0" applyNumberFormat="1" applyFont="1" applyFill="1" applyBorder="1" applyAlignment="1">
      <alignment horizontal="center" vertical="center" wrapText="1"/>
    </xf>
    <xf numFmtId="1" fontId="40" fillId="17" borderId="1" xfId="0" applyNumberFormat="1" applyFont="1" applyFill="1" applyBorder="1" applyAlignment="1">
      <alignment horizontal="center" vertical="center"/>
    </xf>
    <xf numFmtId="0" fontId="39" fillId="23" borderId="1" xfId="0" applyNumberFormat="1" applyFont="1" applyFill="1" applyBorder="1" applyAlignment="1">
      <alignment horizontal="center" vertical="center" wrapText="1"/>
    </xf>
    <xf numFmtId="0" fontId="39" fillId="23" borderId="1" xfId="0" applyFont="1" applyFill="1" applyBorder="1" applyAlignment="1">
      <alignment horizontal="left" vertical="center" wrapText="1"/>
    </xf>
    <xf numFmtId="49" fontId="39" fillId="23" borderId="1" xfId="0" applyNumberFormat="1" applyFont="1" applyFill="1" applyBorder="1" applyAlignment="1">
      <alignment horizontal="center" vertical="center" wrapText="1"/>
    </xf>
    <xf numFmtId="49" fontId="39" fillId="23" borderId="1" xfId="0" applyNumberFormat="1" applyFont="1" applyFill="1" applyBorder="1" applyAlignment="1">
      <alignment horizontal="left" vertical="center" wrapText="1"/>
    </xf>
    <xf numFmtId="0" fontId="39" fillId="23" borderId="1" xfId="0" applyNumberFormat="1" applyFont="1" applyFill="1" applyBorder="1" applyAlignment="1">
      <alignment horizontal="left" vertical="center" wrapText="1"/>
    </xf>
    <xf numFmtId="2" fontId="39" fillId="23" borderId="1" xfId="0" applyNumberFormat="1" applyFont="1" applyFill="1" applyBorder="1" applyAlignment="1">
      <alignment horizontal="left" vertical="center"/>
    </xf>
    <xf numFmtId="1" fontId="39" fillId="23" borderId="1" xfId="0" applyNumberFormat="1" applyFont="1" applyFill="1" applyBorder="1" applyAlignment="1">
      <alignment horizontal="center" vertical="center"/>
    </xf>
    <xf numFmtId="49" fontId="39" fillId="23" borderId="1" xfId="0" applyNumberFormat="1" applyFont="1" applyFill="1" applyBorder="1" applyAlignment="1">
      <alignment vertical="center"/>
    </xf>
    <xf numFmtId="0" fontId="46" fillId="23" borderId="1" xfId="0" applyNumberFormat="1" applyFont="1" applyFill="1" applyBorder="1" applyAlignment="1">
      <alignment horizontal="left" vertical="center" wrapText="1"/>
    </xf>
    <xf numFmtId="0" fontId="42" fillId="23" borderId="1" xfId="0" applyNumberFormat="1" applyFont="1" applyFill="1" applyBorder="1" applyAlignment="1">
      <alignment horizontal="center" vertical="center" wrapText="1"/>
    </xf>
    <xf numFmtId="0" fontId="39" fillId="23" borderId="1" xfId="0" applyNumberFormat="1" applyFont="1" applyFill="1" applyBorder="1" applyAlignment="1">
      <alignment horizontal="left" vertical="center"/>
    </xf>
    <xf numFmtId="2" fontId="39" fillId="23" borderId="30" xfId="0" applyNumberFormat="1" applyFont="1" applyFill="1" applyBorder="1" applyAlignment="1">
      <alignment horizontal="center" vertical="center"/>
    </xf>
    <xf numFmtId="2" fontId="39" fillId="23" borderId="31" xfId="0" applyNumberFormat="1" applyFont="1" applyFill="1" applyBorder="1" applyAlignment="1">
      <alignment vertical="center"/>
    </xf>
    <xf numFmtId="0" fontId="39" fillId="23" borderId="1" xfId="0" applyFont="1" applyFill="1" applyBorder="1" applyAlignment="1">
      <alignment vertical="center"/>
    </xf>
    <xf numFmtId="0" fontId="42" fillId="23" borderId="2" xfId="0" applyFont="1" applyFill="1" applyBorder="1" applyAlignment="1">
      <alignment vertical="center" wrapText="1"/>
    </xf>
    <xf numFmtId="0" fontId="48" fillId="23" borderId="1" xfId="0" applyNumberFormat="1" applyFont="1" applyFill="1" applyBorder="1" applyAlignment="1">
      <alignment horizontal="left" vertical="center" wrapText="1"/>
    </xf>
    <xf numFmtId="0" fontId="48" fillId="23" borderId="1" xfId="0" applyFont="1" applyFill="1" applyBorder="1" applyAlignment="1">
      <alignment vertical="center"/>
    </xf>
    <xf numFmtId="0" fontId="39" fillId="23" borderId="7" xfId="0" applyNumberFormat="1" applyFont="1" applyFill="1" applyBorder="1" applyAlignment="1">
      <alignment horizontal="right" vertical="center"/>
    </xf>
    <xf numFmtId="0" fontId="39" fillId="23" borderId="18" xfId="0" applyNumberFormat="1" applyFont="1" applyFill="1" applyBorder="1" applyAlignment="1">
      <alignment horizontal="left" vertical="center"/>
    </xf>
    <xf numFmtId="0" fontId="39" fillId="23" borderId="20" xfId="0" applyNumberFormat="1" applyFont="1" applyFill="1" applyBorder="1" applyAlignment="1">
      <alignment horizontal="left" vertical="center"/>
    </xf>
    <xf numFmtId="2" fontId="39" fillId="23" borderId="7" xfId="0" applyNumberFormat="1" applyFont="1" applyFill="1" applyBorder="1" applyAlignment="1">
      <alignment horizontal="center" vertical="center"/>
    </xf>
    <xf numFmtId="2" fontId="39" fillId="23" borderId="18" xfId="0" applyNumberFormat="1" applyFont="1" applyFill="1" applyBorder="1" applyAlignment="1">
      <alignment horizontal="center" vertical="center"/>
    </xf>
    <xf numFmtId="49" fontId="39" fillId="23" borderId="21" xfId="0" applyNumberFormat="1" applyFont="1" applyFill="1" applyBorder="1" applyAlignment="1">
      <alignment horizontal="right" vertical="center"/>
    </xf>
    <xf numFmtId="1" fontId="39" fillId="23" borderId="20" xfId="0" applyNumberFormat="1" applyFont="1" applyFill="1" applyBorder="1" applyAlignment="1">
      <alignment vertical="center"/>
    </xf>
    <xf numFmtId="0" fontId="40" fillId="23" borderId="14" xfId="0" applyFont="1" applyFill="1" applyBorder="1" applyAlignment="1">
      <alignment horizontal="center" vertical="center"/>
    </xf>
    <xf numFmtId="0" fontId="39" fillId="23" borderId="13" xfId="0" applyFont="1" applyFill="1" applyBorder="1" applyAlignment="1">
      <alignment horizontal="left" vertical="center"/>
    </xf>
    <xf numFmtId="1" fontId="39" fillId="23" borderId="8" xfId="0" applyNumberFormat="1" applyFont="1" applyFill="1" applyBorder="1" applyAlignment="1">
      <alignment horizontal="right" vertical="center"/>
    </xf>
    <xf numFmtId="2" fontId="39" fillId="23" borderId="8" xfId="0" applyNumberFormat="1" applyFont="1" applyFill="1" applyBorder="1" applyAlignment="1">
      <alignment horizontal="left" vertical="center"/>
    </xf>
    <xf numFmtId="1" fontId="39" fillId="23" borderId="32" xfId="0" applyNumberFormat="1" applyFont="1" applyFill="1" applyBorder="1" applyAlignment="1">
      <alignment horizontal="left" vertical="center"/>
    </xf>
    <xf numFmtId="2" fontId="39" fillId="23" borderId="7" xfId="0" applyNumberFormat="1" applyFont="1" applyFill="1" applyBorder="1" applyAlignment="1">
      <alignment horizontal="left" vertical="center"/>
    </xf>
    <xf numFmtId="49" fontId="39" fillId="23" borderId="18" xfId="0" applyNumberFormat="1" applyFont="1" applyFill="1" applyBorder="1" applyAlignment="1">
      <alignment horizontal="left" vertical="center"/>
    </xf>
    <xf numFmtId="49" fontId="39" fillId="23" borderId="18" xfId="0" applyNumberFormat="1" applyFont="1" applyFill="1" applyBorder="1" applyAlignment="1">
      <alignment horizontal="center" vertical="center"/>
    </xf>
    <xf numFmtId="49" fontId="49" fillId="23" borderId="9" xfId="0" applyNumberFormat="1" applyFont="1" applyFill="1" applyBorder="1" applyAlignment="1">
      <alignment vertical="center" wrapText="1"/>
    </xf>
    <xf numFmtId="1" fontId="39" fillId="23" borderId="1" xfId="0" applyNumberFormat="1" applyFont="1" applyFill="1" applyBorder="1" applyAlignment="1">
      <alignment horizontal="center" vertical="center" wrapText="1"/>
    </xf>
    <xf numFmtId="1" fontId="42" fillId="23" borderId="2" xfId="0" applyNumberFormat="1" applyFont="1" applyFill="1" applyBorder="1" applyAlignment="1">
      <alignment horizontal="center" vertical="center"/>
    </xf>
    <xf numFmtId="0" fontId="39" fillId="23" borderId="1" xfId="0" applyFont="1" applyFill="1" applyBorder="1" applyAlignment="1">
      <alignment horizontal="center" vertical="center"/>
    </xf>
    <xf numFmtId="1" fontId="39" fillId="23" borderId="8" xfId="0" applyNumberFormat="1" applyFont="1" applyFill="1" applyBorder="1" applyAlignment="1">
      <alignment horizontal="center" vertical="center" wrapText="1"/>
    </xf>
    <xf numFmtId="1" fontId="39" fillId="23" borderId="8" xfId="0" applyNumberFormat="1" applyFont="1" applyFill="1" applyBorder="1" applyAlignment="1">
      <alignment horizontal="left" vertical="center" wrapText="1"/>
    </xf>
    <xf numFmtId="49" fontId="39" fillId="23" borderId="21" xfId="0" applyNumberFormat="1" applyFont="1" applyFill="1" applyBorder="1" applyAlignment="1">
      <alignment horizontal="right" vertical="center" wrapText="1"/>
    </xf>
    <xf numFmtId="49" fontId="39" fillId="23" borderId="33" xfId="0" applyNumberFormat="1" applyFont="1" applyFill="1" applyBorder="1" applyAlignment="1">
      <alignment horizontal="center" vertical="center" wrapText="1"/>
    </xf>
    <xf numFmtId="0" fontId="39" fillId="23" borderId="20" xfId="0" applyNumberFormat="1" applyFont="1" applyFill="1" applyBorder="1" applyAlignment="1">
      <alignment horizontal="left" vertical="center" wrapText="1"/>
    </xf>
    <xf numFmtId="0" fontId="50" fillId="23" borderId="13" xfId="0" applyFont="1" applyFill="1" applyBorder="1" applyAlignment="1">
      <alignment horizontal="left" vertical="center"/>
    </xf>
    <xf numFmtId="1" fontId="39" fillId="23" borderId="7" xfId="0" applyNumberFormat="1" applyFont="1" applyFill="1" applyBorder="1" applyAlignment="1">
      <alignment horizontal="right" vertical="center" wrapText="1"/>
    </xf>
    <xf numFmtId="1" fontId="39" fillId="23" borderId="9" xfId="0" applyNumberFormat="1" applyFont="1" applyFill="1" applyBorder="1" applyAlignment="1">
      <alignment horizontal="left" vertical="center" wrapText="1"/>
    </xf>
    <xf numFmtId="49" fontId="49" fillId="23" borderId="9" xfId="0" applyNumberFormat="1" applyFont="1" applyFill="1" applyBorder="1" applyAlignment="1">
      <alignment vertical="center"/>
    </xf>
    <xf numFmtId="0" fontId="51" fillId="4" borderId="1" xfId="0" applyNumberFormat="1" applyFont="1" applyFill="1" applyBorder="1" applyAlignment="1">
      <alignment horizontal="center" vertical="center"/>
    </xf>
    <xf numFmtId="0" fontId="42" fillId="23" borderId="2" xfId="0" applyFont="1" applyFill="1" applyBorder="1" applyAlignment="1">
      <alignment horizontal="center" vertical="center"/>
    </xf>
    <xf numFmtId="0" fontId="40" fillId="23" borderId="1" xfId="0" applyNumberFormat="1" applyFont="1" applyFill="1" applyBorder="1" applyAlignment="1">
      <alignment horizontal="center" vertical="center" wrapText="1"/>
    </xf>
    <xf numFmtId="1" fontId="39" fillId="23" borderId="7" xfId="0" applyNumberFormat="1" applyFont="1" applyFill="1" applyBorder="1" applyAlignment="1">
      <alignment horizontal="center" vertical="center"/>
    </xf>
    <xf numFmtId="0" fontId="39" fillId="23" borderId="0" xfId="0" applyFont="1" applyFill="1" applyBorder="1" applyAlignment="1">
      <alignment vertical="center"/>
    </xf>
    <xf numFmtId="0" fontId="67" fillId="23" borderId="1" xfId="0" applyFont="1" applyFill="1" applyBorder="1" applyAlignment="1">
      <alignment vertical="center"/>
    </xf>
    <xf numFmtId="0" fontId="39" fillId="23" borderId="1" xfId="0" applyNumberFormat="1" applyFont="1" applyFill="1" applyBorder="1" applyAlignment="1">
      <alignment horizontal="center" vertical="center"/>
    </xf>
    <xf numFmtId="0" fontId="39" fillId="23" borderId="14" xfId="0" applyNumberFormat="1" applyFont="1" applyFill="1" applyBorder="1" applyAlignment="1">
      <alignment horizontal="center" vertical="center"/>
    </xf>
    <xf numFmtId="0" fontId="39" fillId="23" borderId="15" xfId="0" applyNumberFormat="1" applyFont="1" applyFill="1" applyBorder="1" applyAlignment="1">
      <alignment horizontal="center" vertical="center" wrapText="1"/>
    </xf>
    <xf numFmtId="0" fontId="39" fillId="23" borderId="13" xfId="0" applyNumberFormat="1" applyFont="1" applyFill="1" applyBorder="1" applyAlignment="1">
      <alignment horizontal="center" vertical="center"/>
    </xf>
    <xf numFmtId="1" fontId="40" fillId="23" borderId="7" xfId="0" applyNumberFormat="1" applyFont="1" applyFill="1" applyBorder="1" applyAlignment="1">
      <alignment horizontal="right" vertical="center"/>
    </xf>
    <xf numFmtId="2" fontId="50" fillId="23" borderId="1" xfId="0" applyNumberFormat="1" applyFont="1" applyFill="1" applyBorder="1" applyAlignment="1">
      <alignment horizontal="center" vertical="center"/>
    </xf>
    <xf numFmtId="0" fontId="39" fillId="23" borderId="14" xfId="0" applyFont="1" applyFill="1" applyBorder="1" applyAlignment="1">
      <alignment vertical="center"/>
    </xf>
    <xf numFmtId="0" fontId="39" fillId="23" borderId="13" xfId="0" applyFont="1" applyFill="1" applyBorder="1" applyAlignment="1">
      <alignment vertical="center"/>
    </xf>
    <xf numFmtId="1" fontId="40" fillId="23" borderId="8" xfId="0" applyNumberFormat="1" applyFont="1" applyFill="1" applyBorder="1" applyAlignment="1">
      <alignment horizontal="center" vertical="center"/>
    </xf>
    <xf numFmtId="1" fontId="40" fillId="23" borderId="24" xfId="0" applyNumberFormat="1" applyFont="1" applyFill="1" applyBorder="1" applyAlignment="1">
      <alignment horizontal="center" vertical="center" wrapText="1"/>
    </xf>
    <xf numFmtId="1" fontId="39" fillId="23" borderId="8" xfId="0" applyNumberFormat="1" applyFont="1" applyFill="1" applyBorder="1" applyAlignment="1">
      <alignment horizontal="center" vertical="center"/>
    </xf>
    <xf numFmtId="0" fontId="39" fillId="23" borderId="13" xfId="0" applyNumberFormat="1" applyFont="1" applyFill="1" applyBorder="1" applyAlignment="1">
      <alignment horizontal="center" vertical="center" wrapText="1"/>
    </xf>
    <xf numFmtId="0" fontId="39" fillId="23" borderId="8" xfId="0" applyNumberFormat="1" applyFont="1" applyFill="1" applyBorder="1" applyAlignment="1">
      <alignment horizontal="center" vertical="center" wrapText="1"/>
    </xf>
    <xf numFmtId="0" fontId="39" fillId="23" borderId="9" xfId="0" applyNumberFormat="1" applyFont="1" applyFill="1" applyBorder="1" applyAlignment="1">
      <alignment horizontal="center" vertical="center"/>
    </xf>
    <xf numFmtId="0" fontId="39" fillId="23" borderId="1" xfId="0" applyNumberFormat="1" applyFont="1" applyFill="1" applyBorder="1" applyAlignment="1">
      <alignment vertical="center"/>
    </xf>
    <xf numFmtId="0" fontId="39" fillId="23" borderId="9" xfId="0" applyNumberFormat="1" applyFont="1" applyFill="1" applyBorder="1" applyAlignment="1">
      <alignment horizontal="left" vertical="center" wrapText="1"/>
    </xf>
    <xf numFmtId="0" fontId="39" fillId="23" borderId="24" xfId="0" applyNumberFormat="1" applyFont="1" applyFill="1" applyBorder="1" applyAlignment="1">
      <alignment horizontal="left" vertical="center"/>
    </xf>
    <xf numFmtId="0" fontId="39" fillId="23" borderId="25" xfId="0" applyNumberFormat="1" applyFont="1" applyFill="1" applyBorder="1" applyAlignment="1">
      <alignment vertical="center" wrapText="1"/>
    </xf>
    <xf numFmtId="0" fontId="39" fillId="23" borderId="20" xfId="0" applyNumberFormat="1" applyFont="1" applyFill="1" applyBorder="1" applyAlignment="1">
      <alignment horizontal="right" vertical="center" wrapText="1"/>
    </xf>
    <xf numFmtId="0" fontId="39" fillId="23" borderId="32" xfId="0" applyNumberFormat="1" applyFont="1" applyFill="1" applyBorder="1" applyAlignment="1">
      <alignment horizontal="center" vertical="center" wrapText="1"/>
    </xf>
    <xf numFmtId="1" fontId="40" fillId="23" borderId="1" xfId="0" applyNumberFormat="1" applyFont="1" applyFill="1" applyBorder="1" applyAlignment="1">
      <alignment horizontal="center" vertical="center"/>
    </xf>
    <xf numFmtId="0" fontId="39" fillId="23" borderId="8" xfId="0" applyFont="1" applyFill="1" applyBorder="1" applyAlignment="1">
      <alignment vertical="center"/>
    </xf>
    <xf numFmtId="0" fontId="39" fillId="32" borderId="1" xfId="0" applyNumberFormat="1" applyFont="1" applyFill="1" applyBorder="1" applyAlignment="1">
      <alignment horizontal="left" vertical="center" wrapText="1"/>
    </xf>
    <xf numFmtId="1" fontId="39" fillId="2" borderId="7" xfId="0" applyNumberFormat="1" applyFont="1" applyFill="1" applyBorder="1" applyAlignment="1">
      <alignment horizontal="right" vertical="center"/>
    </xf>
    <xf numFmtId="0" fontId="39" fillId="39" borderId="8" xfId="0" applyFont="1" applyFill="1" applyBorder="1" applyAlignment="1">
      <alignment vertical="center"/>
    </xf>
    <xf numFmtId="0" fontId="39" fillId="39" borderId="32" xfId="0" applyFont="1" applyFill="1" applyBorder="1" applyAlignment="1">
      <alignment vertical="center"/>
    </xf>
    <xf numFmtId="1" fontId="39" fillId="2" borderId="1" xfId="0" applyNumberFormat="1" applyFont="1" applyFill="1" applyBorder="1" applyAlignment="1">
      <alignment horizontal="right" vertical="center"/>
    </xf>
    <xf numFmtId="49" fontId="39" fillId="2" borderId="0" xfId="0" applyNumberFormat="1" applyFont="1" applyFill="1" applyBorder="1" applyAlignment="1">
      <alignment horizontal="right" vertical="center"/>
    </xf>
    <xf numFmtId="2" fontId="39" fillId="0" borderId="18" xfId="0" quotePrefix="1" applyNumberFormat="1" applyFont="1" applyFill="1" applyBorder="1" applyAlignment="1">
      <alignment horizontal="center" vertical="center"/>
    </xf>
    <xf numFmtId="0" fontId="39" fillId="0" borderId="1" xfId="0" applyNumberFormat="1" applyFont="1" applyFill="1" applyBorder="1" applyAlignment="1">
      <alignment vertical="center" wrapText="1"/>
    </xf>
    <xf numFmtId="49"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left" vertical="center" wrapText="1"/>
    </xf>
    <xf numFmtId="0" fontId="39" fillId="0" borderId="1" xfId="0" applyNumberFormat="1" applyFont="1" applyFill="1" applyBorder="1" applyAlignment="1">
      <alignment horizontal="left" vertical="center" wrapText="1"/>
    </xf>
    <xf numFmtId="2" fontId="39" fillId="0" borderId="30" xfId="0" applyNumberFormat="1" applyFont="1" applyFill="1" applyBorder="1" applyAlignment="1">
      <alignment horizontal="center" vertical="center"/>
    </xf>
    <xf numFmtId="2" fontId="39" fillId="0" borderId="31" xfId="0" applyNumberFormat="1" applyFont="1" applyFill="1" applyBorder="1" applyAlignment="1">
      <alignment vertical="center"/>
    </xf>
    <xf numFmtId="0" fontId="42" fillId="16" borderId="1" xfId="0" applyFont="1" applyFill="1" applyBorder="1" applyAlignment="1">
      <alignment vertical="center" wrapText="1"/>
    </xf>
    <xf numFmtId="0" fontId="39" fillId="0" borderId="1" xfId="0" applyFont="1" applyFill="1" applyBorder="1" applyAlignment="1">
      <alignment vertical="center"/>
    </xf>
    <xf numFmtId="0" fontId="39" fillId="0" borderId="7" xfId="0" applyNumberFormat="1" applyFont="1" applyFill="1" applyBorder="1" applyAlignment="1">
      <alignment horizontal="right" vertical="center"/>
    </xf>
    <xf numFmtId="0" fontId="39" fillId="0" borderId="18" xfId="0" applyNumberFormat="1" applyFont="1" applyFill="1" applyBorder="1" applyAlignment="1">
      <alignment horizontal="left" vertical="center"/>
    </xf>
    <xf numFmtId="0" fontId="39" fillId="0" borderId="20" xfId="0" applyNumberFormat="1" applyFont="1" applyFill="1" applyBorder="1" applyAlignment="1">
      <alignment horizontal="left" vertical="center"/>
    </xf>
    <xf numFmtId="2" fontId="39" fillId="0" borderId="7" xfId="0" applyNumberFormat="1" applyFont="1" applyFill="1" applyBorder="1" applyAlignment="1">
      <alignment horizontal="left" vertical="center"/>
    </xf>
    <xf numFmtId="1" fontId="39" fillId="0" borderId="7" xfId="0" applyNumberFormat="1" applyFont="1" applyFill="1" applyBorder="1" applyAlignment="1">
      <alignment horizontal="left" vertical="center"/>
    </xf>
    <xf numFmtId="0" fontId="39" fillId="0" borderId="13" xfId="0" applyFont="1" applyFill="1" applyBorder="1" applyAlignment="1">
      <alignment horizontal="left" vertical="center"/>
    </xf>
    <xf numFmtId="1" fontId="39" fillId="0" borderId="7" xfId="0" applyNumberFormat="1" applyFont="1" applyFill="1" applyBorder="1" applyAlignment="1">
      <alignment horizontal="right" vertical="center"/>
    </xf>
    <xf numFmtId="1" fontId="39" fillId="0" borderId="32" xfId="0" applyNumberFormat="1" applyFont="1" applyFill="1" applyBorder="1" applyAlignment="1">
      <alignment horizontal="left" vertical="center"/>
    </xf>
    <xf numFmtId="2" fontId="39" fillId="0" borderId="1" xfId="0" applyNumberFormat="1" applyFont="1" applyFill="1" applyBorder="1" applyAlignment="1">
      <alignment horizontal="left" vertical="center"/>
    </xf>
    <xf numFmtId="49" fontId="39" fillId="0" borderId="21" xfId="0" applyNumberFormat="1" applyFont="1" applyFill="1" applyBorder="1" applyAlignment="1">
      <alignment horizontal="right" vertical="center"/>
    </xf>
    <xf numFmtId="49" fontId="39" fillId="0" borderId="18" xfId="0" applyNumberFormat="1" applyFont="1" applyFill="1" applyBorder="1" applyAlignment="1">
      <alignment horizontal="center" vertical="center"/>
    </xf>
    <xf numFmtId="0" fontId="39" fillId="0" borderId="9" xfId="0" applyNumberFormat="1" applyFont="1" applyFill="1" applyBorder="1" applyAlignment="1">
      <alignment horizontal="left" vertical="center" wrapText="1"/>
    </xf>
    <xf numFmtId="49" fontId="49" fillId="0" borderId="9" xfId="0" applyNumberFormat="1" applyFont="1" applyFill="1" applyBorder="1" applyAlignment="1">
      <alignment vertical="center" wrapText="1"/>
    </xf>
    <xf numFmtId="0" fontId="42" fillId="0" borderId="1"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wrapText="1"/>
    </xf>
    <xf numFmtId="1" fontId="42" fillId="16"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1" fontId="39" fillId="0" borderId="8" xfId="0" applyNumberFormat="1" applyFont="1" applyFill="1" applyBorder="1" applyAlignment="1">
      <alignment horizontal="center" vertical="center" wrapText="1"/>
    </xf>
    <xf numFmtId="1" fontId="39" fillId="0" borderId="8" xfId="0" applyNumberFormat="1" applyFont="1" applyFill="1" applyBorder="1" applyAlignment="1">
      <alignment horizontal="left" vertical="center" wrapText="1"/>
    </xf>
    <xf numFmtId="0" fontId="50" fillId="0" borderId="13" xfId="0" applyFont="1" applyFill="1" applyBorder="1" applyAlignment="1">
      <alignment horizontal="left" vertical="center"/>
    </xf>
    <xf numFmtId="1" fontId="39" fillId="0" borderId="7" xfId="0" applyNumberFormat="1" applyFont="1" applyFill="1" applyBorder="1" applyAlignment="1">
      <alignment horizontal="right" vertical="center" wrapText="1"/>
    </xf>
    <xf numFmtId="0" fontId="39" fillId="0" borderId="9" xfId="0" applyFont="1" applyFill="1" applyBorder="1" applyAlignment="1">
      <alignment horizontal="left" vertical="center"/>
    </xf>
    <xf numFmtId="49" fontId="49" fillId="0" borderId="9" xfId="0" applyNumberFormat="1" applyFont="1" applyFill="1" applyBorder="1" applyAlignment="1">
      <alignment vertical="center"/>
    </xf>
    <xf numFmtId="0" fontId="40" fillId="0" borderId="1" xfId="0" applyNumberFormat="1" applyFont="1" applyFill="1" applyBorder="1" applyAlignment="1">
      <alignment horizontal="center" vertical="center" wrapText="1"/>
    </xf>
    <xf numFmtId="1" fontId="39" fillId="0" borderId="7"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1" xfId="0" applyNumberFormat="1" applyFont="1" applyFill="1" applyBorder="1" applyAlignment="1">
      <alignment horizontal="center" vertical="center"/>
    </xf>
    <xf numFmtId="0" fontId="39" fillId="0" borderId="14" xfId="0" applyNumberFormat="1" applyFont="1" applyFill="1" applyBorder="1" applyAlignment="1">
      <alignment horizontal="center" vertical="center"/>
    </xf>
    <xf numFmtId="0" fontId="39" fillId="0" borderId="15" xfId="0" applyNumberFormat="1" applyFont="1" applyFill="1" applyBorder="1" applyAlignment="1">
      <alignment horizontal="center" vertical="center" wrapText="1"/>
    </xf>
    <xf numFmtId="0" fontId="39" fillId="0" borderId="13" xfId="0" applyNumberFormat="1" applyFont="1" applyFill="1" applyBorder="1" applyAlignment="1">
      <alignment horizontal="center" vertical="center"/>
    </xf>
    <xf numFmtId="1" fontId="40" fillId="0" borderId="7" xfId="0" applyNumberFormat="1" applyFont="1" applyFill="1" applyBorder="1" applyAlignment="1">
      <alignment horizontal="right" vertical="center"/>
    </xf>
    <xf numFmtId="2" fontId="50" fillId="0" borderId="1" xfId="0" applyNumberFormat="1" applyFont="1" applyFill="1" applyBorder="1" applyAlignment="1">
      <alignment horizontal="center" vertical="center"/>
    </xf>
    <xf numFmtId="0" fontId="39" fillId="0" borderId="14" xfId="0" applyFont="1" applyFill="1" applyBorder="1" applyAlignment="1">
      <alignment vertical="center"/>
    </xf>
    <xf numFmtId="0" fontId="39" fillId="0" borderId="13" xfId="0" applyFont="1" applyFill="1" applyBorder="1" applyAlignment="1">
      <alignment vertical="center"/>
    </xf>
    <xf numFmtId="1" fontId="40" fillId="0" borderId="8" xfId="0" applyNumberFormat="1" applyFont="1" applyFill="1" applyBorder="1" applyAlignment="1">
      <alignment horizontal="center" vertical="center"/>
    </xf>
    <xf numFmtId="1" fontId="40" fillId="0" borderId="24" xfId="0" applyNumberFormat="1" applyFont="1" applyFill="1" applyBorder="1" applyAlignment="1">
      <alignment horizontal="center" vertical="center" wrapText="1"/>
    </xf>
    <xf numFmtId="0" fontId="39" fillId="0" borderId="1" xfId="0" applyFont="1" applyFill="1" applyBorder="1"/>
    <xf numFmtId="0" fontId="39" fillId="0" borderId="13" xfId="0" applyNumberFormat="1" applyFont="1" applyFill="1" applyBorder="1" applyAlignment="1">
      <alignment horizontal="center" vertical="center" wrapText="1"/>
    </xf>
    <xf numFmtId="0" fontId="39" fillId="0" borderId="8" xfId="0" applyNumberFormat="1" applyFont="1" applyFill="1" applyBorder="1" applyAlignment="1">
      <alignment horizontal="center" vertical="center"/>
    </xf>
    <xf numFmtId="0" fontId="39" fillId="0" borderId="9" xfId="0" applyNumberFormat="1" applyFont="1" applyFill="1" applyBorder="1" applyAlignment="1">
      <alignment horizontal="center" vertical="center" wrapText="1"/>
    </xf>
    <xf numFmtId="0" fontId="39" fillId="0" borderId="1" xfId="0" applyNumberFormat="1" applyFont="1" applyFill="1" applyBorder="1" applyAlignment="1">
      <alignment vertical="center"/>
    </xf>
    <xf numFmtId="0" fontId="40" fillId="0" borderId="9" xfId="0" applyNumberFormat="1" applyFont="1" applyFill="1" applyBorder="1" applyAlignment="1">
      <alignment vertical="center" wrapText="1"/>
    </xf>
    <xf numFmtId="0" fontId="39" fillId="0" borderId="24" xfId="0" applyNumberFormat="1" applyFont="1" applyFill="1" applyBorder="1" applyAlignment="1">
      <alignment horizontal="left" vertical="center" wrapText="1"/>
    </xf>
    <xf numFmtId="0" fontId="39" fillId="0" borderId="21" xfId="0" applyFont="1" applyFill="1" applyBorder="1"/>
    <xf numFmtId="0" fontId="39" fillId="0" borderId="20" xfId="0" applyNumberFormat="1" applyFont="1" applyFill="1" applyBorder="1" applyAlignment="1">
      <alignment horizontal="right" vertical="center" wrapText="1"/>
    </xf>
    <xf numFmtId="0" fontId="39" fillId="0" borderId="32" xfId="0" applyNumberFormat="1" applyFont="1" applyFill="1" applyBorder="1" applyAlignment="1">
      <alignment horizontal="center" vertical="center" wrapText="1"/>
    </xf>
    <xf numFmtId="2" fontId="39" fillId="0" borderId="1" xfId="0" applyNumberFormat="1" applyFont="1" applyFill="1" applyBorder="1" applyAlignment="1">
      <alignment horizontal="center" vertical="center" wrapText="1"/>
    </xf>
    <xf numFmtId="1" fontId="40" fillId="0" borderId="1" xfId="0" applyNumberFormat="1" applyFont="1" applyFill="1" applyBorder="1" applyAlignment="1">
      <alignment horizontal="center" vertical="center"/>
    </xf>
    <xf numFmtId="0" fontId="39" fillId="0" borderId="8" xfId="0" applyFont="1" applyFill="1" applyBorder="1" applyAlignment="1">
      <alignment vertical="center"/>
    </xf>
    <xf numFmtId="2" fontId="39" fillId="2" borderId="18" xfId="0" applyNumberFormat="1" applyFont="1" applyFill="1" applyBorder="1" applyAlignment="1">
      <alignment horizontal="left" vertical="center"/>
    </xf>
    <xf numFmtId="0" fontId="39" fillId="22" borderId="8" xfId="0" applyFont="1" applyFill="1" applyBorder="1" applyAlignment="1">
      <alignment vertical="center"/>
    </xf>
    <xf numFmtId="49" fontId="49" fillId="2" borderId="0" xfId="0" applyNumberFormat="1" applyFont="1" applyFill="1" applyBorder="1" applyAlignment="1">
      <alignment vertical="center" wrapText="1"/>
    </xf>
    <xf numFmtId="0" fontId="39" fillId="39" borderId="1" xfId="0" applyNumberFormat="1" applyFont="1" applyFill="1" applyBorder="1" applyAlignment="1">
      <alignment vertical="center" wrapText="1"/>
    </xf>
    <xf numFmtId="2" fontId="39" fillId="0" borderId="20" xfId="0" applyNumberFormat="1" applyFont="1" applyFill="1" applyBorder="1" applyAlignment="1">
      <alignment horizontal="center" vertical="center"/>
    </xf>
    <xf numFmtId="0" fontId="39" fillId="39" borderId="7" xfId="0" applyFont="1" applyFill="1" applyBorder="1" applyAlignment="1">
      <alignment vertical="center"/>
    </xf>
    <xf numFmtId="0" fontId="39" fillId="39" borderId="18" xfId="0" applyFont="1" applyFill="1" applyBorder="1" applyAlignment="1">
      <alignment vertical="center"/>
    </xf>
    <xf numFmtId="49" fontId="52" fillId="2" borderId="0" xfId="0" applyNumberFormat="1" applyFont="1" applyFill="1" applyBorder="1" applyAlignment="1">
      <alignment vertical="center" wrapText="1"/>
    </xf>
    <xf numFmtId="49" fontId="49" fillId="12" borderId="9" xfId="0" applyNumberFormat="1" applyFont="1" applyFill="1" applyBorder="1" applyAlignment="1">
      <alignment vertical="center"/>
    </xf>
    <xf numFmtId="0" fontId="39" fillId="0" borderId="9" xfId="0" applyFont="1" applyBorder="1"/>
    <xf numFmtId="0" fontId="39" fillId="3" borderId="9" xfId="0" applyNumberFormat="1" applyFont="1" applyFill="1" applyBorder="1" applyAlignment="1">
      <alignment horizontal="left" vertical="center" wrapText="1"/>
    </xf>
    <xf numFmtId="0" fontId="39" fillId="0" borderId="0" xfId="0" applyFont="1" applyBorder="1"/>
    <xf numFmtId="0" fontId="39" fillId="0" borderId="1" xfId="0" applyFont="1" applyBorder="1"/>
    <xf numFmtId="0" fontId="14" fillId="21" borderId="1" xfId="0" applyNumberFormat="1" applyFont="1" applyFill="1" applyBorder="1" applyAlignment="1">
      <alignment vertical="center" wrapText="1"/>
    </xf>
    <xf numFmtId="0" fontId="40" fillId="0" borderId="17" xfId="1" applyNumberFormat="1" applyFont="1" applyBorder="1" applyAlignment="1">
      <alignment wrapText="1"/>
    </xf>
    <xf numFmtId="0" fontId="71" fillId="2" borderId="0" xfId="1" applyFont="1" applyFill="1" applyAlignment="1">
      <alignment vertical="center"/>
    </xf>
    <xf numFmtId="0" fontId="71" fillId="0" borderId="0" xfId="1" applyFont="1" applyBorder="1" applyAlignment="1">
      <alignment vertical="center"/>
    </xf>
    <xf numFmtId="0" fontId="71" fillId="0" borderId="0" xfId="1" applyFont="1" applyBorder="1" applyAlignment="1">
      <alignment horizontal="center" vertical="center"/>
    </xf>
    <xf numFmtId="0" fontId="71" fillId="0" borderId="0" xfId="1" applyFont="1" applyAlignment="1">
      <alignment horizontal="center" vertical="center"/>
    </xf>
    <xf numFmtId="0" fontId="71" fillId="0" borderId="0" xfId="1" applyFont="1" applyAlignment="1">
      <alignment vertical="center"/>
    </xf>
    <xf numFmtId="49" fontId="71" fillId="0" borderId="0" xfId="1" applyNumberFormat="1" applyFont="1" applyAlignment="1">
      <alignment vertical="center"/>
    </xf>
    <xf numFmtId="0" fontId="71" fillId="6" borderId="0" xfId="1" applyFont="1" applyFill="1" applyAlignment="1">
      <alignment vertical="center"/>
    </xf>
    <xf numFmtId="0" fontId="71" fillId="0" borderId="0" xfId="1" applyFont="1"/>
    <xf numFmtId="0" fontId="71" fillId="0" borderId="0" xfId="1" applyFont="1" applyBorder="1"/>
    <xf numFmtId="0" fontId="71" fillId="0" borderId="0" xfId="1" applyFont="1" applyAlignment="1">
      <alignment horizontal="left"/>
    </xf>
    <xf numFmtId="1" fontId="72" fillId="2" borderId="0" xfId="1" applyNumberFormat="1" applyFont="1" applyFill="1" applyBorder="1" applyAlignment="1">
      <alignment horizontal="center"/>
    </xf>
    <xf numFmtId="0" fontId="72" fillId="0" borderId="0" xfId="1" quotePrefix="1" applyNumberFormat="1" applyFont="1" applyAlignment="1">
      <alignment horizontal="center" wrapText="1"/>
    </xf>
    <xf numFmtId="0" fontId="71" fillId="2" borderId="0" xfId="1" applyFont="1" applyFill="1" applyBorder="1" applyAlignment="1">
      <alignment horizontal="right"/>
    </xf>
    <xf numFmtId="0" fontId="72" fillId="2" borderId="0" xfId="1" applyFont="1" applyFill="1" applyBorder="1" applyAlignment="1">
      <alignment horizontal="center"/>
    </xf>
    <xf numFmtId="0" fontId="72" fillId="2" borderId="0" xfId="1" applyFont="1" applyFill="1" applyBorder="1" applyAlignment="1">
      <alignment horizontal="left"/>
    </xf>
    <xf numFmtId="0" fontId="72" fillId="2" borderId="0" xfId="1" applyFont="1" applyFill="1" applyBorder="1" applyAlignment="1">
      <alignment horizontal="right"/>
    </xf>
    <xf numFmtId="0" fontId="71" fillId="0" borderId="0" xfId="1" applyFont="1" applyAlignment="1">
      <alignment horizontal="center" wrapText="1"/>
    </xf>
    <xf numFmtId="0" fontId="71" fillId="0" borderId="0" xfId="1" applyFont="1" applyAlignment="1">
      <alignment horizontal="center"/>
    </xf>
    <xf numFmtId="2" fontId="75" fillId="2" borderId="0" xfId="1" applyNumberFormat="1" applyFont="1" applyFill="1" applyBorder="1" applyAlignment="1">
      <alignment horizontal="right" vertical="center"/>
    </xf>
    <xf numFmtId="0" fontId="71" fillId="2" borderId="0" xfId="1" applyFont="1" applyFill="1" applyBorder="1" applyAlignment="1">
      <alignment horizontal="center"/>
    </xf>
    <xf numFmtId="0" fontId="71" fillId="2" borderId="0" xfId="1" applyFont="1" applyFill="1" applyBorder="1" applyAlignment="1">
      <alignment horizontal="left"/>
    </xf>
    <xf numFmtId="0" fontId="71" fillId="16" borderId="0" xfId="1" applyFont="1" applyFill="1" applyAlignment="1">
      <alignment horizontal="left"/>
    </xf>
    <xf numFmtId="0" fontId="71" fillId="0" borderId="0" xfId="1" applyFont="1" applyAlignment="1">
      <alignment horizontal="left" wrapText="1"/>
    </xf>
    <xf numFmtId="0" fontId="71" fillId="0" borderId="0" xfId="1" applyFont="1" applyAlignment="1">
      <alignment wrapText="1"/>
    </xf>
    <xf numFmtId="0" fontId="71" fillId="0" borderId="0" xfId="1" applyFont="1" applyAlignment="1">
      <alignment horizontal="right"/>
    </xf>
    <xf numFmtId="0" fontId="72" fillId="0" borderId="1" xfId="1" applyFont="1" applyBorder="1" applyAlignment="1">
      <alignment horizontal="center" vertical="center" wrapText="1"/>
    </xf>
    <xf numFmtId="0" fontId="72" fillId="17" borderId="1" xfId="1" applyFont="1" applyFill="1" applyBorder="1" applyAlignment="1">
      <alignment horizontal="center" vertical="center" wrapText="1"/>
    </xf>
    <xf numFmtId="0" fontId="72" fillId="0" borderId="6" xfId="1" applyFont="1" applyBorder="1" applyAlignment="1">
      <alignment vertical="center" wrapText="1"/>
    </xf>
    <xf numFmtId="0" fontId="71" fillId="2" borderId="0" xfId="1" applyFont="1" applyFill="1" applyAlignment="1">
      <alignment horizontal="right" vertical="center"/>
    </xf>
    <xf numFmtId="0" fontId="71" fillId="2" borderId="0" xfId="1" applyFont="1" applyFill="1" applyAlignment="1">
      <alignment horizontal="left" vertical="center"/>
    </xf>
    <xf numFmtId="0" fontId="72" fillId="0" borderId="10" xfId="1" applyFont="1" applyBorder="1" applyAlignment="1">
      <alignment vertical="center" wrapText="1"/>
    </xf>
    <xf numFmtId="0" fontId="72" fillId="0" borderId="11" xfId="1" applyFont="1" applyBorder="1" applyAlignment="1">
      <alignment horizontal="center" vertical="center" wrapText="1"/>
    </xf>
    <xf numFmtId="0" fontId="72" fillId="0" borderId="8" xfId="1" applyFont="1" applyBorder="1" applyAlignment="1">
      <alignment horizontal="center" vertical="center" wrapText="1"/>
    </xf>
    <xf numFmtId="0" fontId="72" fillId="0" borderId="3" xfId="1" applyFont="1" applyBorder="1" applyAlignment="1">
      <alignment vertical="center" wrapText="1"/>
    </xf>
    <xf numFmtId="1" fontId="76" fillId="17" borderId="1" xfId="1" applyNumberFormat="1" applyFont="1" applyFill="1" applyBorder="1" applyAlignment="1">
      <alignment horizontal="center" vertical="center" textRotation="90" wrapText="1"/>
    </xf>
    <xf numFmtId="0" fontId="71" fillId="0" borderId="5" xfId="1" applyFont="1" applyBorder="1" applyAlignment="1">
      <alignment vertical="center"/>
    </xf>
    <xf numFmtId="0" fontId="72" fillId="0" borderId="1" xfId="1" applyFont="1" applyBorder="1" applyAlignment="1">
      <alignment vertical="center" wrapText="1"/>
    </xf>
    <xf numFmtId="0" fontId="71" fillId="16" borderId="1" xfId="1" applyFont="1" applyFill="1" applyBorder="1" applyAlignment="1">
      <alignment horizontal="center" vertical="center" wrapText="1"/>
    </xf>
    <xf numFmtId="0" fontId="71" fillId="0" borderId="9" xfId="1" applyFont="1" applyBorder="1" applyAlignment="1">
      <alignment horizontal="center" vertical="center" wrapText="1"/>
    </xf>
    <xf numFmtId="0" fontId="72" fillId="0" borderId="8" xfId="1" applyFont="1" applyBorder="1" applyAlignment="1">
      <alignment vertical="center" wrapText="1"/>
    </xf>
    <xf numFmtId="0" fontId="71" fillId="0" borderId="0" xfId="1" applyFont="1" applyAlignment="1">
      <alignment horizontal="left" vertical="center"/>
    </xf>
    <xf numFmtId="0" fontId="71" fillId="0" borderId="1" xfId="1" applyFont="1" applyBorder="1" applyAlignment="1">
      <alignment horizontal="center" vertical="center"/>
    </xf>
    <xf numFmtId="0" fontId="71" fillId="0" borderId="1" xfId="1" applyFont="1" applyBorder="1" applyAlignment="1">
      <alignment vertical="center"/>
    </xf>
    <xf numFmtId="0" fontId="71" fillId="0" borderId="1" xfId="1" applyFont="1" applyBorder="1" applyAlignment="1">
      <alignment vertical="center" wrapText="1"/>
    </xf>
    <xf numFmtId="0" fontId="71" fillId="0" borderId="1" xfId="1" applyFont="1" applyBorder="1" applyAlignment="1">
      <alignment horizontal="left" vertical="center" wrapText="1"/>
    </xf>
    <xf numFmtId="0" fontId="71" fillId="0" borderId="1" xfId="1" applyFont="1" applyBorder="1" applyAlignment="1">
      <alignment horizontal="center" vertical="center" wrapText="1"/>
    </xf>
    <xf numFmtId="0" fontId="71" fillId="17" borderId="1" xfId="1" applyFont="1" applyFill="1" applyBorder="1" applyAlignment="1">
      <alignment vertical="center"/>
    </xf>
    <xf numFmtId="0" fontId="71" fillId="17" borderId="1" xfId="1" applyFont="1" applyFill="1" applyBorder="1" applyAlignment="1">
      <alignment horizontal="center" vertical="center"/>
    </xf>
    <xf numFmtId="0" fontId="71" fillId="0" borderId="7" xfId="1" applyFont="1" applyBorder="1" applyAlignment="1">
      <alignment vertical="center"/>
    </xf>
    <xf numFmtId="0" fontId="71" fillId="0" borderId="8" xfId="1" applyFont="1" applyBorder="1" applyAlignment="1">
      <alignment horizontal="center" vertical="center"/>
    </xf>
    <xf numFmtId="0" fontId="71" fillId="0" borderId="9" xfId="1" applyFont="1" applyBorder="1" applyAlignment="1">
      <alignment vertical="center"/>
    </xf>
    <xf numFmtId="0" fontId="71" fillId="0" borderId="1" xfId="1" applyFont="1" applyBorder="1" applyAlignment="1">
      <alignment horizontal="left" vertical="center"/>
    </xf>
    <xf numFmtId="0" fontId="71" fillId="0" borderId="1" xfId="1" applyFont="1" applyBorder="1" applyAlignment="1">
      <alignment horizontal="right" vertical="center"/>
    </xf>
    <xf numFmtId="1" fontId="71" fillId="2" borderId="1" xfId="1" applyNumberFormat="1" applyFont="1" applyFill="1" applyBorder="1" applyAlignment="1">
      <alignment horizontal="left" vertical="center" wrapText="1"/>
    </xf>
    <xf numFmtId="0" fontId="71" fillId="16" borderId="1" xfId="1" applyFont="1" applyFill="1" applyBorder="1" applyAlignment="1">
      <alignment vertical="center"/>
    </xf>
    <xf numFmtId="0" fontId="14" fillId="0" borderId="33" xfId="0" applyFont="1" applyBorder="1"/>
    <xf numFmtId="1" fontId="14" fillId="16" borderId="8" xfId="0" applyNumberFormat="1" applyFont="1" applyFill="1" applyBorder="1" applyAlignment="1">
      <alignment horizontal="right" vertical="center"/>
    </xf>
    <xf numFmtId="2" fontId="14" fillId="16" borderId="8" xfId="0" applyNumberFormat="1" applyFont="1" applyFill="1" applyBorder="1" applyAlignment="1">
      <alignment horizontal="left" vertical="center"/>
    </xf>
    <xf numFmtId="0" fontId="19" fillId="2" borderId="14" xfId="0" applyNumberFormat="1" applyFont="1" applyFill="1" applyBorder="1" applyAlignment="1">
      <alignment horizontal="center" vertical="center" wrapText="1"/>
    </xf>
    <xf numFmtId="0" fontId="14" fillId="0" borderId="7" xfId="0" applyFont="1" applyBorder="1"/>
    <xf numFmtId="0" fontId="14" fillId="16" borderId="1"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0" fontId="15" fillId="2" borderId="1" xfId="1" applyNumberFormat="1" applyFont="1" applyFill="1" applyBorder="1" applyAlignment="1">
      <alignment horizontal="center" vertical="center" wrapText="1"/>
    </xf>
    <xf numFmtId="0" fontId="15" fillId="2" borderId="9" xfId="1" applyNumberFormat="1" applyFont="1" applyFill="1" applyBorder="1" applyAlignment="1">
      <alignment horizontal="left" vertical="center" wrapText="1"/>
    </xf>
    <xf numFmtId="2" fontId="15" fillId="16" borderId="8" xfId="1" applyNumberFormat="1" applyFont="1" applyFill="1" applyBorder="1" applyAlignment="1">
      <alignment horizontal="left" vertical="center"/>
    </xf>
    <xf numFmtId="49" fontId="15" fillId="16" borderId="8" xfId="1" applyNumberFormat="1" applyFont="1" applyFill="1" applyBorder="1" applyAlignment="1">
      <alignment horizontal="left" vertical="center"/>
    </xf>
    <xf numFmtId="0" fontId="15" fillId="16" borderId="14" xfId="1" applyNumberFormat="1" applyFont="1" applyFill="1" applyBorder="1" applyAlignment="1">
      <alignment horizontal="center" vertical="center"/>
    </xf>
    <xf numFmtId="1" fontId="14" fillId="16" borderId="2" xfId="1" applyNumberFormat="1" applyFont="1" applyFill="1" applyBorder="1" applyAlignment="1">
      <alignment horizontal="center" vertical="center"/>
    </xf>
    <xf numFmtId="0" fontId="14" fillId="16" borderId="2" xfId="1" applyFont="1" applyFill="1" applyBorder="1" applyAlignment="1">
      <alignment horizontal="center" vertical="center"/>
    </xf>
    <xf numFmtId="0" fontId="14" fillId="16" borderId="1" xfId="1" applyNumberFormat="1" applyFont="1" applyFill="1" applyBorder="1" applyAlignment="1">
      <alignment horizontal="left" vertical="center" wrapText="1"/>
    </xf>
    <xf numFmtId="1" fontId="14" fillId="16" borderId="1" xfId="1" applyNumberFormat="1" applyFont="1" applyFill="1" applyBorder="1" applyAlignment="1">
      <alignment horizontal="center" vertical="center"/>
    </xf>
    <xf numFmtId="0" fontId="14" fillId="16" borderId="1" xfId="1" applyFont="1" applyFill="1" applyBorder="1" applyAlignment="1">
      <alignment vertical="center"/>
    </xf>
    <xf numFmtId="0" fontId="36" fillId="16" borderId="1" xfId="1" applyNumberFormat="1" applyFont="1" applyFill="1" applyBorder="1" applyAlignment="1">
      <alignment horizontal="center" vertical="center" wrapText="1"/>
    </xf>
    <xf numFmtId="0" fontId="15" fillId="2" borderId="1" xfId="1" applyNumberFormat="1" applyFont="1" applyFill="1" applyBorder="1" applyAlignment="1">
      <alignment horizontal="left" vertical="center" wrapText="1"/>
    </xf>
    <xf numFmtId="0" fontId="15" fillId="2" borderId="20" xfId="1" applyNumberFormat="1" applyFont="1" applyFill="1" applyBorder="1" applyAlignment="1">
      <alignment horizontal="left" vertical="center" wrapText="1"/>
    </xf>
    <xf numFmtId="2" fontId="15" fillId="16" borderId="1" xfId="1" applyNumberFormat="1" applyFont="1" applyFill="1" applyBorder="1" applyAlignment="1">
      <alignment horizontal="left" vertical="center"/>
    </xf>
    <xf numFmtId="49" fontId="15" fillId="16" borderId="1" xfId="1" applyNumberFormat="1" applyFont="1" applyFill="1" applyBorder="1" applyAlignment="1">
      <alignment vertical="center"/>
    </xf>
    <xf numFmtId="2" fontId="15" fillId="2" borderId="30" xfId="1" applyNumberFormat="1" applyFont="1" applyFill="1" applyBorder="1" applyAlignment="1">
      <alignment horizontal="center" vertical="center"/>
    </xf>
    <xf numFmtId="2" fontId="15" fillId="2" borderId="31" xfId="1" applyNumberFormat="1" applyFont="1" applyFill="1" applyBorder="1" applyAlignment="1">
      <alignment vertical="center"/>
    </xf>
    <xf numFmtId="0" fontId="15" fillId="16" borderId="14" xfId="1" applyFont="1" applyFill="1" applyBorder="1" applyAlignment="1">
      <alignment vertical="center"/>
    </xf>
    <xf numFmtId="0" fontId="30" fillId="0" borderId="1" xfId="1" applyFont="1" applyFill="1" applyBorder="1" applyAlignment="1">
      <alignment vertical="center"/>
    </xf>
    <xf numFmtId="1" fontId="15" fillId="2" borderId="1" xfId="1" applyNumberFormat="1" applyFont="1" applyFill="1" applyBorder="1" applyAlignment="1">
      <alignment horizontal="center" vertical="center"/>
    </xf>
    <xf numFmtId="0" fontId="15" fillId="2" borderId="7" xfId="1" applyNumberFormat="1" applyFont="1" applyFill="1" applyBorder="1" applyAlignment="1">
      <alignment horizontal="right" vertical="center"/>
    </xf>
    <xf numFmtId="0" fontId="15" fillId="2" borderId="18" xfId="1" applyNumberFormat="1" applyFont="1" applyFill="1" applyBorder="1" applyAlignment="1">
      <alignment horizontal="left" vertical="center"/>
    </xf>
    <xf numFmtId="0" fontId="15" fillId="2" borderId="20" xfId="1" applyNumberFormat="1" applyFont="1" applyFill="1" applyBorder="1" applyAlignment="1">
      <alignment horizontal="left" vertical="center"/>
    </xf>
    <xf numFmtId="2" fontId="15" fillId="0" borderId="1" xfId="1" applyNumberFormat="1" applyFont="1" applyFill="1" applyBorder="1" applyAlignment="1">
      <alignment horizontal="center" vertical="center"/>
    </xf>
    <xf numFmtId="2" fontId="15" fillId="0" borderId="7" xfId="1" applyNumberFormat="1" applyFont="1" applyFill="1" applyBorder="1" applyAlignment="1">
      <alignment horizontal="center" vertical="center"/>
    </xf>
    <xf numFmtId="2" fontId="15" fillId="0" borderId="21" xfId="1" applyNumberFormat="1" applyFont="1" applyFill="1" applyBorder="1" applyAlignment="1">
      <alignment horizontal="center" vertical="center"/>
    </xf>
    <xf numFmtId="2" fontId="15" fillId="0" borderId="18" xfId="1" applyNumberFormat="1" applyFont="1" applyFill="1" applyBorder="1" applyAlignment="1">
      <alignment horizontal="left" vertical="center"/>
    </xf>
    <xf numFmtId="2" fontId="15" fillId="0" borderId="18" xfId="1" applyNumberFormat="1" applyFont="1" applyFill="1" applyBorder="1" applyAlignment="1">
      <alignment horizontal="center" vertical="center"/>
    </xf>
    <xf numFmtId="1" fontId="15" fillId="0" borderId="20" xfId="1" applyNumberFormat="1" applyFont="1" applyFill="1" applyBorder="1" applyAlignment="1">
      <alignment horizontal="left" vertical="center"/>
    </xf>
    <xf numFmtId="0" fontId="8" fillId="7" borderId="14" xfId="1" applyFont="1" applyFill="1" applyBorder="1" applyAlignment="1">
      <alignment horizontal="center" vertical="center"/>
    </xf>
    <xf numFmtId="0" fontId="15" fillId="2" borderId="13" xfId="1" applyFont="1" applyFill="1" applyBorder="1" applyAlignment="1">
      <alignment horizontal="left" vertical="center"/>
    </xf>
    <xf numFmtId="1" fontId="15" fillId="2" borderId="7" xfId="1" applyNumberFormat="1" applyFont="1" applyFill="1" applyBorder="1" applyAlignment="1">
      <alignment horizontal="right" vertical="center"/>
    </xf>
    <xf numFmtId="2" fontId="15" fillId="2" borderId="18" xfId="1" applyNumberFormat="1" applyFont="1" applyFill="1" applyBorder="1" applyAlignment="1">
      <alignment horizontal="left" vertical="center"/>
    </xf>
    <xf numFmtId="1" fontId="15" fillId="2" borderId="32" xfId="1" applyNumberFormat="1" applyFont="1" applyFill="1" applyBorder="1" applyAlignment="1">
      <alignment horizontal="left" vertical="center"/>
    </xf>
    <xf numFmtId="2" fontId="15" fillId="2" borderId="1" xfId="1" applyNumberFormat="1" applyFont="1" applyFill="1" applyBorder="1" applyAlignment="1">
      <alignment horizontal="left" vertical="center"/>
    </xf>
    <xf numFmtId="2" fontId="15" fillId="2" borderId="7" xfId="1" applyNumberFormat="1" applyFont="1" applyFill="1" applyBorder="1" applyAlignment="1">
      <alignment horizontal="left" vertical="center"/>
    </xf>
    <xf numFmtId="49" fontId="15" fillId="2" borderId="21" xfId="1" applyNumberFormat="1" applyFont="1" applyFill="1" applyBorder="1" applyAlignment="1">
      <alignment horizontal="right" vertical="center"/>
    </xf>
    <xf numFmtId="49" fontId="15" fillId="2" borderId="18" xfId="1" applyNumberFormat="1" applyFont="1" applyFill="1" applyBorder="1" applyAlignment="1">
      <alignment horizontal="left" vertical="center"/>
    </xf>
    <xf numFmtId="49" fontId="15" fillId="2" borderId="18" xfId="1" applyNumberFormat="1" applyFont="1" applyFill="1" applyBorder="1" applyAlignment="1">
      <alignment horizontal="center" vertical="center"/>
    </xf>
    <xf numFmtId="49" fontId="63" fillId="2" borderId="9" xfId="1" applyNumberFormat="1" applyFont="1" applyFill="1" applyBorder="1" applyAlignment="1">
      <alignment vertical="center" wrapText="1"/>
    </xf>
    <xf numFmtId="0" fontId="36" fillId="13" borderId="1" xfId="1" applyNumberFormat="1" applyFont="1" applyFill="1" applyBorder="1" applyAlignment="1">
      <alignment horizontal="center" vertical="center"/>
    </xf>
    <xf numFmtId="1" fontId="15" fillId="2" borderId="1" xfId="1" applyNumberFormat="1" applyFont="1" applyFill="1" applyBorder="1" applyAlignment="1">
      <alignment horizontal="center" vertical="center" wrapText="1"/>
    </xf>
    <xf numFmtId="0" fontId="15" fillId="2" borderId="1" xfId="1" applyFont="1" applyFill="1" applyBorder="1" applyAlignment="1">
      <alignment horizontal="center" vertical="center"/>
    </xf>
    <xf numFmtId="1" fontId="15" fillId="2" borderId="8" xfId="1" applyNumberFormat="1" applyFont="1" applyFill="1" applyBorder="1" applyAlignment="1">
      <alignment horizontal="right" vertical="center" wrapText="1"/>
    </xf>
    <xf numFmtId="49" fontId="15" fillId="2" borderId="21" xfId="1" applyNumberFormat="1" applyFont="1" applyFill="1" applyBorder="1" applyAlignment="1">
      <alignment horizontal="right" vertical="center" wrapText="1"/>
    </xf>
    <xf numFmtId="49" fontId="15" fillId="0" borderId="18" xfId="1" applyNumberFormat="1" applyFont="1" applyFill="1" applyBorder="1" applyAlignment="1">
      <alignment horizontal="left" vertical="center"/>
    </xf>
    <xf numFmtId="0" fontId="8" fillId="16" borderId="14" xfId="1" applyFont="1" applyFill="1" applyBorder="1" applyAlignment="1">
      <alignment horizontal="center" vertical="center"/>
    </xf>
    <xf numFmtId="0" fontId="20" fillId="2" borderId="13" xfId="1" applyFont="1" applyFill="1" applyBorder="1" applyAlignment="1">
      <alignment horizontal="left" vertical="center"/>
    </xf>
    <xf numFmtId="1" fontId="15" fillId="2" borderId="7" xfId="1" applyNumberFormat="1" applyFont="1" applyFill="1" applyBorder="1" applyAlignment="1">
      <alignment horizontal="right" vertical="center" wrapText="1"/>
    </xf>
    <xf numFmtId="0" fontId="15" fillId="2" borderId="9" xfId="1" applyFont="1" applyFill="1" applyBorder="1" applyAlignment="1">
      <alignment horizontal="left" vertical="center"/>
    </xf>
    <xf numFmtId="49" fontId="15" fillId="2" borderId="8" xfId="1" applyNumberFormat="1" applyFont="1" applyFill="1" applyBorder="1" applyAlignment="1">
      <alignment horizontal="left" vertical="center"/>
    </xf>
    <xf numFmtId="49" fontId="63" fillId="2" borderId="9" xfId="1" applyNumberFormat="1" applyFont="1" applyFill="1" applyBorder="1" applyAlignment="1">
      <alignment vertical="center"/>
    </xf>
    <xf numFmtId="0" fontId="64" fillId="4" borderId="1" xfId="1" applyNumberFormat="1" applyFont="1" applyFill="1" applyBorder="1" applyAlignment="1">
      <alignment horizontal="center" vertical="center"/>
    </xf>
    <xf numFmtId="0" fontId="15" fillId="33" borderId="1" xfId="1" applyNumberFormat="1" applyFont="1" applyFill="1" applyBorder="1" applyAlignment="1">
      <alignment horizontal="left" vertical="center" wrapText="1"/>
    </xf>
    <xf numFmtId="0" fontId="8" fillId="2" borderId="1" xfId="1" applyNumberFormat="1" applyFont="1" applyFill="1" applyBorder="1" applyAlignment="1">
      <alignment horizontal="center" vertical="center" wrapText="1"/>
    </xf>
    <xf numFmtId="1" fontId="15" fillId="2" borderId="7" xfId="1" applyNumberFormat="1" applyFont="1" applyFill="1" applyBorder="1" applyAlignment="1">
      <alignment horizontal="center" vertical="center"/>
    </xf>
    <xf numFmtId="0" fontId="15" fillId="4" borderId="1" xfId="1" applyFont="1" applyFill="1" applyBorder="1" applyAlignment="1">
      <alignment vertical="center"/>
    </xf>
    <xf numFmtId="0" fontId="15" fillId="2" borderId="1" xfId="1" applyNumberFormat="1" applyFont="1" applyFill="1" applyBorder="1" applyAlignment="1">
      <alignment horizontal="center" vertical="center"/>
    </xf>
    <xf numFmtId="0" fontId="15" fillId="2" borderId="14" xfId="1" applyNumberFormat="1" applyFont="1" applyFill="1" applyBorder="1" applyAlignment="1">
      <alignment horizontal="center" vertical="center"/>
    </xf>
    <xf numFmtId="0" fontId="15" fillId="2" borderId="15" xfId="1" applyNumberFormat="1" applyFont="1" applyFill="1" applyBorder="1" applyAlignment="1">
      <alignment horizontal="center" vertical="center" wrapText="1"/>
    </xf>
    <xf numFmtId="0" fontId="15" fillId="2" borderId="13" xfId="1" applyNumberFormat="1" applyFont="1" applyFill="1" applyBorder="1" applyAlignment="1">
      <alignment horizontal="center" vertical="center"/>
    </xf>
    <xf numFmtId="1" fontId="8" fillId="2" borderId="7" xfId="1" applyNumberFormat="1" applyFont="1" applyFill="1" applyBorder="1" applyAlignment="1">
      <alignment horizontal="right" vertical="center"/>
    </xf>
    <xf numFmtId="2" fontId="20" fillId="2" borderId="1" xfId="1" applyNumberFormat="1" applyFont="1" applyFill="1" applyBorder="1" applyAlignment="1">
      <alignment horizontal="center" vertical="center"/>
    </xf>
    <xf numFmtId="0" fontId="15" fillId="2" borderId="14" xfId="1" applyFont="1" applyFill="1" applyBorder="1" applyAlignment="1">
      <alignment vertical="center"/>
    </xf>
    <xf numFmtId="0" fontId="15" fillId="2" borderId="13" xfId="1" applyFont="1" applyFill="1" applyBorder="1" applyAlignment="1">
      <alignment vertical="center"/>
    </xf>
    <xf numFmtId="1" fontId="8" fillId="2" borderId="8" xfId="1" applyNumberFormat="1" applyFont="1" applyFill="1" applyBorder="1" applyAlignment="1">
      <alignment horizontal="center" vertical="center"/>
    </xf>
    <xf numFmtId="1" fontId="8" fillId="2" borderId="24" xfId="1" applyNumberFormat="1" applyFont="1" applyFill="1" applyBorder="1" applyAlignment="1">
      <alignment horizontal="center" vertical="center" wrapText="1"/>
    </xf>
    <xf numFmtId="0" fontId="15" fillId="2" borderId="13" xfId="1" applyNumberFormat="1" applyFont="1" applyFill="1" applyBorder="1" applyAlignment="1">
      <alignment horizontal="center" vertical="center" wrapText="1"/>
    </xf>
    <xf numFmtId="0" fontId="15" fillId="2" borderId="8" xfId="1" applyNumberFormat="1" applyFont="1" applyFill="1" applyBorder="1" applyAlignment="1">
      <alignment horizontal="center" vertical="center" wrapText="1"/>
    </xf>
    <xf numFmtId="0" fontId="15" fillId="2" borderId="9" xfId="1" applyNumberFormat="1" applyFont="1" applyFill="1" applyBorder="1" applyAlignment="1">
      <alignment horizontal="center" vertical="center"/>
    </xf>
    <xf numFmtId="0" fontId="15" fillId="2" borderId="1" xfId="1" applyNumberFormat="1" applyFont="1" applyFill="1" applyBorder="1" applyAlignment="1">
      <alignment horizontal="left" vertical="center"/>
    </xf>
    <xf numFmtId="0" fontId="15" fillId="2" borderId="1" xfId="1" applyNumberFormat="1" applyFont="1" applyFill="1" applyBorder="1" applyAlignment="1">
      <alignment vertical="center"/>
    </xf>
    <xf numFmtId="0" fontId="15" fillId="2" borderId="24" xfId="1" applyNumberFormat="1" applyFont="1" applyFill="1" applyBorder="1" applyAlignment="1">
      <alignment horizontal="left" vertical="center" wrapText="1"/>
    </xf>
    <xf numFmtId="0" fontId="15" fillId="2" borderId="20" xfId="1" applyNumberFormat="1" applyFont="1" applyFill="1" applyBorder="1" applyAlignment="1">
      <alignment horizontal="right" vertical="center" wrapText="1"/>
    </xf>
    <xf numFmtId="0" fontId="15" fillId="2" borderId="32"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xf>
    <xf numFmtId="0" fontId="15" fillId="2" borderId="8" xfId="1" applyFont="1" applyFill="1" applyBorder="1" applyAlignment="1">
      <alignment vertical="center"/>
    </xf>
    <xf numFmtId="0" fontId="37" fillId="17" borderId="8" xfId="1" applyFont="1" applyFill="1" applyBorder="1" applyAlignment="1">
      <alignment vertical="center"/>
    </xf>
    <xf numFmtId="0" fontId="36" fillId="16" borderId="2" xfId="1" applyFont="1" applyFill="1" applyBorder="1" applyAlignment="1">
      <alignment horizontal="center" vertical="center"/>
    </xf>
    <xf numFmtId="0" fontId="15" fillId="0" borderId="0" xfId="1" applyFont="1" applyBorder="1" applyAlignment="1">
      <alignment vertical="center"/>
    </xf>
    <xf numFmtId="2" fontId="14" fillId="0" borderId="21" xfId="0" quotePrefix="1" applyNumberFormat="1" applyFont="1" applyFill="1" applyBorder="1" applyAlignment="1">
      <alignment horizontal="center" vertical="center"/>
    </xf>
    <xf numFmtId="0" fontId="14" fillId="12" borderId="0" xfId="0" applyFont="1" applyFill="1" applyBorder="1" applyAlignment="1">
      <alignment vertical="center"/>
    </xf>
    <xf numFmtId="0" fontId="14" fillId="8" borderId="0" xfId="0" applyFont="1" applyFill="1" applyBorder="1" applyAlignment="1">
      <alignment vertical="center"/>
    </xf>
    <xf numFmtId="0" fontId="14" fillId="2" borderId="15" xfId="0" applyNumberFormat="1" applyFont="1" applyFill="1" applyBorder="1" applyAlignment="1">
      <alignment horizontal="center" vertical="center"/>
    </xf>
    <xf numFmtId="49" fontId="19" fillId="2" borderId="18" xfId="0" applyNumberFormat="1" applyFont="1" applyFill="1" applyBorder="1" applyAlignment="1">
      <alignment horizontal="center" vertical="center"/>
    </xf>
    <xf numFmtId="0" fontId="14" fillId="2" borderId="18"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49" fontId="77" fillId="16" borderId="1" xfId="0" applyNumberFormat="1" applyFont="1" applyFill="1" applyBorder="1" applyAlignment="1">
      <alignment horizontal="left" vertical="center" wrapText="1"/>
    </xf>
    <xf numFmtId="1" fontId="39" fillId="2" borderId="7" xfId="1" applyNumberFormat="1" applyFont="1" applyFill="1" applyBorder="1" applyAlignment="1">
      <alignment horizontal="center" vertical="center" wrapText="1"/>
    </xf>
    <xf numFmtId="0" fontId="39" fillId="2" borderId="7" xfId="1" applyFont="1" applyFill="1" applyBorder="1" applyAlignment="1">
      <alignment horizontal="left" vertical="center"/>
    </xf>
    <xf numFmtId="49" fontId="39" fillId="0" borderId="33" xfId="1" applyNumberFormat="1" applyFont="1" applyFill="1" applyBorder="1" applyAlignment="1">
      <alignment horizontal="left" vertical="center"/>
    </xf>
    <xf numFmtId="49" fontId="39" fillId="2" borderId="9" xfId="1" applyNumberFormat="1" applyFont="1" applyFill="1" applyBorder="1" applyAlignment="1">
      <alignment horizontal="right" vertical="center" wrapText="1"/>
    </xf>
    <xf numFmtId="0" fontId="39" fillId="16" borderId="12" xfId="1" applyFont="1" applyFill="1" applyBorder="1" applyAlignment="1">
      <alignment horizontal="center" vertical="center"/>
    </xf>
    <xf numFmtId="49" fontId="39" fillId="2" borderId="33" xfId="1" applyNumberFormat="1" applyFont="1" applyFill="1" applyBorder="1" applyAlignment="1">
      <alignment horizontal="left" vertical="center"/>
    </xf>
    <xf numFmtId="49" fontId="14" fillId="0" borderId="0" xfId="0" applyNumberFormat="1" applyFont="1" applyFill="1" applyBorder="1" applyAlignment="1">
      <alignment horizontal="right" vertical="center"/>
    </xf>
    <xf numFmtId="0" fontId="14" fillId="23" borderId="8" xfId="0" applyNumberFormat="1" applyFont="1" applyFill="1" applyBorder="1" applyAlignment="1">
      <alignment horizontal="right" vertical="center"/>
    </xf>
    <xf numFmtId="49" fontId="19" fillId="2" borderId="9" xfId="0" applyNumberFormat="1" applyFont="1" applyFill="1" applyBorder="1" applyAlignment="1">
      <alignment vertical="center" wrapText="1"/>
    </xf>
    <xf numFmtId="49" fontId="16" fillId="2" borderId="9" xfId="0" applyNumberFormat="1" applyFont="1" applyFill="1" applyBorder="1" applyAlignment="1">
      <alignment vertical="center" wrapText="1"/>
    </xf>
    <xf numFmtId="0" fontId="39" fillId="2" borderId="0" xfId="1" applyFont="1" applyFill="1" applyBorder="1" applyAlignment="1">
      <alignment horizontal="right" vertical="center"/>
    </xf>
    <xf numFmtId="0" fontId="71" fillId="2" borderId="0" xfId="1" applyFont="1" applyFill="1" applyBorder="1" applyAlignment="1">
      <alignment horizontal="right" vertical="center"/>
    </xf>
    <xf numFmtId="0" fontId="71" fillId="0" borderId="0" xfId="1" applyFont="1" applyAlignment="1">
      <alignment horizontal="right" vertical="center"/>
    </xf>
    <xf numFmtId="0" fontId="39" fillId="0" borderId="0" xfId="1" applyFont="1" applyAlignment="1">
      <alignment horizontal="right" vertical="center"/>
    </xf>
    <xf numFmtId="0" fontId="53" fillId="0" borderId="0" xfId="1" applyFont="1" applyAlignment="1">
      <alignment horizontal="right" vertical="center"/>
    </xf>
    <xf numFmtId="0" fontId="71" fillId="0" borderId="0" xfId="1" applyFont="1" applyBorder="1" applyAlignment="1">
      <alignment horizontal="right" vertical="center"/>
    </xf>
    <xf numFmtId="49" fontId="39" fillId="0" borderId="8" xfId="1" applyNumberFormat="1" applyFont="1" applyFill="1" applyBorder="1" applyAlignment="1">
      <alignment horizontal="right" vertical="center"/>
    </xf>
    <xf numFmtId="0" fontId="40" fillId="0" borderId="0" xfId="1" applyNumberFormat="1" applyFont="1" applyBorder="1" applyAlignment="1">
      <alignment horizontal="right" vertical="center" wrapText="1"/>
    </xf>
    <xf numFmtId="49" fontId="39" fillId="0" borderId="18" xfId="0" applyNumberFormat="1" applyFont="1" applyFill="1" applyBorder="1" applyAlignment="1">
      <alignment horizontal="right" vertical="center"/>
    </xf>
    <xf numFmtId="49" fontId="15" fillId="0" borderId="18"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39" fillId="17" borderId="18" xfId="0" applyNumberFormat="1" applyFont="1" applyFill="1" applyBorder="1" applyAlignment="1">
      <alignment horizontal="right" vertical="center"/>
    </xf>
    <xf numFmtId="49" fontId="39" fillId="23" borderId="18" xfId="0" applyNumberFormat="1" applyFont="1" applyFill="1" applyBorder="1" applyAlignment="1">
      <alignment horizontal="right" vertical="center"/>
    </xf>
    <xf numFmtId="49" fontId="14" fillId="23" borderId="18" xfId="0" applyNumberFormat="1" applyFont="1" applyFill="1" applyBorder="1" applyAlignment="1">
      <alignment horizontal="right" vertical="center"/>
    </xf>
    <xf numFmtId="0" fontId="39" fillId="0" borderId="1" xfId="1" applyFont="1" applyFill="1" applyBorder="1" applyAlignment="1">
      <alignment vertical="center"/>
    </xf>
    <xf numFmtId="0" fontId="39" fillId="0" borderId="9" xfId="1" applyFont="1" applyFill="1" applyBorder="1" applyAlignment="1">
      <alignment vertical="center"/>
    </xf>
    <xf numFmtId="49" fontId="39" fillId="2" borderId="33" xfId="1" applyNumberFormat="1" applyFont="1" applyFill="1" applyBorder="1" applyAlignment="1">
      <alignment horizontal="center" vertical="center"/>
    </xf>
    <xf numFmtId="0" fontId="14" fillId="16" borderId="0" xfId="0" applyNumberFormat="1" applyFont="1" applyFill="1" applyBorder="1" applyAlignment="1">
      <alignment horizontal="right" vertical="center"/>
    </xf>
    <xf numFmtId="0" fontId="14" fillId="16" borderId="0" xfId="0" applyNumberFormat="1" applyFont="1" applyFill="1" applyBorder="1" applyAlignment="1">
      <alignment horizontal="left" vertical="center"/>
    </xf>
    <xf numFmtId="0" fontId="19" fillId="2" borderId="8" xfId="0" applyNumberFormat="1" applyFont="1" applyFill="1" applyBorder="1" applyAlignment="1">
      <alignment horizontal="center" vertical="center"/>
    </xf>
    <xf numFmtId="0" fontId="19" fillId="2" borderId="9" xfId="0" applyNumberFormat="1" applyFont="1" applyFill="1" applyBorder="1" applyAlignment="1">
      <alignment horizontal="center" vertical="center" wrapText="1"/>
    </xf>
    <xf numFmtId="0" fontId="39" fillId="0" borderId="12" xfId="1" applyFont="1" applyFill="1" applyBorder="1" applyAlignment="1">
      <alignment vertical="center"/>
    </xf>
    <xf numFmtId="0" fontId="39" fillId="0" borderId="13" xfId="1" applyFont="1" applyFill="1" applyBorder="1" applyAlignment="1">
      <alignment vertical="center"/>
    </xf>
    <xf numFmtId="0" fontId="14" fillId="16" borderId="2" xfId="0" applyNumberFormat="1" applyFont="1" applyFill="1" applyBorder="1" applyAlignment="1">
      <alignment vertical="center" wrapText="1"/>
    </xf>
    <xf numFmtId="0" fontId="14" fillId="16" borderId="8" xfId="0" applyNumberFormat="1" applyFont="1" applyFill="1" applyBorder="1" applyAlignment="1">
      <alignment horizontal="right" vertical="center"/>
    </xf>
    <xf numFmtId="0" fontId="14" fillId="16" borderId="0" xfId="0" applyFont="1" applyFill="1" applyBorder="1" applyAlignment="1">
      <alignment wrapText="1"/>
    </xf>
    <xf numFmtId="49" fontId="18" fillId="2" borderId="0" xfId="0" applyNumberFormat="1" applyFont="1" applyFill="1" applyBorder="1" applyAlignment="1">
      <alignment vertical="center" wrapText="1"/>
    </xf>
    <xf numFmtId="0" fontId="13" fillId="16" borderId="13" xfId="0" applyFont="1" applyFill="1" applyBorder="1" applyAlignment="1">
      <alignment horizontal="left" vertical="center"/>
    </xf>
    <xf numFmtId="49" fontId="13" fillId="16" borderId="0" xfId="0" applyNumberFormat="1" applyFont="1" applyFill="1" applyBorder="1" applyAlignment="1">
      <alignment horizontal="center" vertical="center"/>
    </xf>
    <xf numFmtId="0" fontId="40" fillId="2" borderId="0" xfId="1" applyNumberFormat="1" applyFont="1" applyFill="1" applyAlignment="1">
      <alignment horizontal="center" vertical="center" wrapText="1"/>
    </xf>
    <xf numFmtId="49" fontId="40" fillId="2" borderId="0" xfId="1" applyNumberFormat="1" applyFont="1" applyFill="1" applyBorder="1" applyAlignment="1">
      <alignment horizontal="center" vertical="center" wrapText="1"/>
    </xf>
    <xf numFmtId="49" fontId="40" fillId="2" borderId="0" xfId="1" applyNumberFormat="1" applyFont="1" applyFill="1" applyBorder="1" applyAlignment="1">
      <alignment vertical="center" wrapText="1"/>
    </xf>
    <xf numFmtId="2" fontId="40" fillId="2" borderId="0" xfId="1" applyNumberFormat="1" applyFont="1" applyFill="1" applyAlignment="1">
      <alignment horizontal="center" vertical="center" wrapText="1"/>
    </xf>
    <xf numFmtId="2" fontId="40" fillId="2" borderId="0" xfId="1" applyNumberFormat="1" applyFont="1" applyFill="1" applyAlignment="1">
      <alignment horizontal="center" vertical="center"/>
    </xf>
    <xf numFmtId="2" fontId="40" fillId="2" borderId="0" xfId="1" applyNumberFormat="1" applyFont="1" applyFill="1" applyAlignment="1">
      <alignment horizontal="left" vertical="center"/>
    </xf>
    <xf numFmtId="49" fontId="40" fillId="2" borderId="0" xfId="1" applyNumberFormat="1" applyFont="1" applyFill="1" applyBorder="1" applyAlignment="1">
      <alignment horizontal="right" vertical="center" wrapText="1"/>
    </xf>
    <xf numFmtId="49" fontId="40" fillId="2" borderId="0" xfId="1" applyNumberFormat="1" applyFont="1" applyFill="1" applyBorder="1" applyAlignment="1">
      <alignment horizontal="left" vertical="center" wrapText="1"/>
    </xf>
    <xf numFmtId="49" fontId="40" fillId="2" borderId="0" xfId="1" applyNumberFormat="1" applyFont="1" applyFill="1" applyBorder="1" applyAlignment="1">
      <alignment horizontal="center" wrapText="1"/>
    </xf>
    <xf numFmtId="49" fontId="40" fillId="2" borderId="0" xfId="1" applyNumberFormat="1" applyFont="1" applyFill="1" applyBorder="1" applyAlignment="1">
      <alignment wrapText="1"/>
    </xf>
    <xf numFmtId="2" fontId="41" fillId="2" borderId="0" xfId="1" applyNumberFormat="1" applyFont="1" applyFill="1" applyAlignment="1">
      <alignment horizontal="right"/>
    </xf>
    <xf numFmtId="2" fontId="41" fillId="2" borderId="0" xfId="1" applyNumberFormat="1" applyFont="1" applyFill="1" applyAlignment="1"/>
    <xf numFmtId="2" fontId="41" fillId="2" borderId="0" xfId="1" applyNumberFormat="1" applyFont="1" applyFill="1" applyAlignment="1">
      <alignment horizontal="left"/>
    </xf>
    <xf numFmtId="2" fontId="41" fillId="2" borderId="0" xfId="1" applyNumberFormat="1" applyFont="1" applyFill="1" applyAlignment="1">
      <alignment wrapText="1"/>
    </xf>
    <xf numFmtId="2" fontId="39" fillId="2" borderId="0" xfId="1" applyNumberFormat="1" applyFont="1" applyFill="1" applyAlignment="1">
      <alignment horizontal="left"/>
    </xf>
    <xf numFmtId="2" fontId="39" fillId="2" borderId="0" xfId="1" applyNumberFormat="1" applyFont="1" applyFill="1" applyAlignment="1">
      <alignment horizontal="center"/>
    </xf>
    <xf numFmtId="0" fontId="40" fillId="0" borderId="0" xfId="1" applyFont="1" applyAlignment="1">
      <alignment vertical="center" wrapText="1"/>
    </xf>
    <xf numFmtId="2" fontId="39" fillId="2" borderId="0" xfId="1" applyNumberFormat="1" applyFont="1" applyFill="1" applyAlignment="1">
      <alignment horizontal="left" wrapText="1"/>
    </xf>
    <xf numFmtId="0" fontId="39" fillId="2" borderId="0" xfId="1" applyNumberFormat="1" applyFont="1" applyFill="1" applyBorder="1" applyAlignment="1"/>
    <xf numFmtId="0" fontId="50" fillId="0" borderId="0" xfId="1" applyNumberFormat="1" applyFont="1" applyBorder="1" applyAlignment="1">
      <alignment horizontal="center"/>
    </xf>
    <xf numFmtId="0" fontId="56" fillId="0" borderId="0" xfId="1" applyNumberFormat="1" applyFont="1" applyBorder="1" applyAlignment="1">
      <alignment horizontal="center"/>
    </xf>
    <xf numFmtId="0" fontId="56" fillId="0" borderId="0" xfId="1" applyNumberFormat="1" applyFont="1" applyBorder="1" applyAlignment="1"/>
    <xf numFmtId="0" fontId="56" fillId="2" borderId="0" xfId="1" applyNumberFormat="1" applyFont="1" applyFill="1" applyBorder="1" applyAlignment="1"/>
    <xf numFmtId="0" fontId="50" fillId="2" borderId="0" xfId="1" applyNumberFormat="1" applyFont="1" applyFill="1" applyBorder="1" applyAlignment="1"/>
    <xf numFmtId="0" fontId="67" fillId="2" borderId="0" xfId="1" applyNumberFormat="1" applyFont="1" applyFill="1" applyBorder="1" applyAlignment="1"/>
    <xf numFmtId="0" fontId="67" fillId="2" borderId="0" xfId="1" applyNumberFormat="1" applyFont="1" applyFill="1" applyBorder="1" applyAlignment="1">
      <alignment horizontal="right"/>
    </xf>
    <xf numFmtId="0" fontId="67" fillId="0" borderId="0" xfId="1" applyNumberFormat="1" applyFont="1" applyBorder="1" applyAlignment="1"/>
    <xf numFmtId="0" fontId="56" fillId="0" borderId="0" xfId="1" applyNumberFormat="1" applyFont="1" applyBorder="1" applyAlignment="1">
      <alignment horizontal="right"/>
    </xf>
    <xf numFmtId="0" fontId="39" fillId="2" borderId="0" xfId="1" applyNumberFormat="1" applyFont="1" applyFill="1" applyAlignment="1"/>
    <xf numFmtId="0" fontId="39" fillId="0" borderId="0" xfId="1" applyNumberFormat="1" applyFont="1" applyAlignment="1">
      <alignment horizontal="center"/>
    </xf>
    <xf numFmtId="0" fontId="46" fillId="2" borderId="0" xfId="1" applyNumberFormat="1" applyFont="1" applyFill="1" applyAlignment="1">
      <alignment wrapText="1"/>
    </xf>
    <xf numFmtId="0" fontId="39" fillId="0" borderId="0" xfId="1" applyNumberFormat="1" applyFont="1" applyAlignment="1"/>
    <xf numFmtId="0" fontId="39" fillId="0" borderId="0" xfId="1" applyNumberFormat="1" applyFont="1" applyBorder="1" applyAlignment="1"/>
    <xf numFmtId="1" fontId="40" fillId="2" borderId="0" xfId="1" applyNumberFormat="1" applyFont="1" applyFill="1" applyBorder="1" applyAlignment="1">
      <alignment horizontal="right"/>
    </xf>
    <xf numFmtId="0" fontId="40" fillId="2" borderId="0" xfId="1" applyNumberFormat="1" applyFont="1" applyFill="1" applyBorder="1" applyAlignment="1">
      <alignment horizontal="right"/>
    </xf>
    <xf numFmtId="0" fontId="40" fillId="2" borderId="0" xfId="1" applyFont="1" applyFill="1" applyBorder="1" applyAlignment="1">
      <alignment horizontal="right" wrapText="1"/>
    </xf>
    <xf numFmtId="0" fontId="40" fillId="2" borderId="0" xfId="1" quotePrefix="1" applyFont="1" applyFill="1" applyBorder="1" applyAlignment="1">
      <alignment horizontal="left"/>
    </xf>
    <xf numFmtId="0" fontId="40" fillId="2" borderId="0" xfId="1" applyNumberFormat="1" applyFont="1" applyFill="1" applyBorder="1" applyAlignment="1">
      <alignment horizontal="left"/>
    </xf>
    <xf numFmtId="0" fontId="39" fillId="0" borderId="0" xfId="1" applyFont="1" applyFill="1" applyBorder="1" applyAlignment="1">
      <alignment horizontal="center"/>
    </xf>
    <xf numFmtId="0" fontId="39" fillId="0" borderId="0" xfId="1" applyFont="1" applyFill="1" applyBorder="1" applyAlignment="1">
      <alignment horizontal="left"/>
    </xf>
    <xf numFmtId="1" fontId="40" fillId="0" borderId="0" xfId="1" applyNumberFormat="1" applyFont="1" applyFill="1" applyBorder="1" applyAlignment="1">
      <alignment horizontal="center" textRotation="90"/>
    </xf>
    <xf numFmtId="49" fontId="40" fillId="2" borderId="0" xfId="1" applyNumberFormat="1" applyFont="1" applyFill="1" applyBorder="1" applyAlignment="1">
      <alignment horizontal="center"/>
    </xf>
    <xf numFmtId="2" fontId="40" fillId="2" borderId="0" xfId="1" applyNumberFormat="1" applyFont="1" applyFill="1" applyBorder="1" applyAlignment="1">
      <alignment horizontal="left"/>
    </xf>
    <xf numFmtId="0" fontId="40" fillId="0" borderId="0" xfId="1" applyFont="1" applyFill="1" applyBorder="1" applyAlignment="1">
      <alignment horizontal="right"/>
    </xf>
    <xf numFmtId="0" fontId="40" fillId="0" borderId="0" xfId="1" applyFont="1" applyFill="1" applyBorder="1" applyAlignment="1">
      <alignment horizontal="center"/>
    </xf>
    <xf numFmtId="0" fontId="39" fillId="2" borderId="0" xfId="1" applyFont="1" applyFill="1" applyBorder="1" applyAlignment="1">
      <alignment horizontal="right" wrapText="1"/>
    </xf>
    <xf numFmtId="0" fontId="40" fillId="16" borderId="0" xfId="1" applyFont="1" applyFill="1" applyAlignment="1"/>
    <xf numFmtId="0" fontId="40" fillId="4" borderId="0" xfId="1" applyFont="1" applyFill="1" applyAlignment="1">
      <alignment horizontal="left" wrapText="1"/>
    </xf>
    <xf numFmtId="0" fontId="40" fillId="4" borderId="0" xfId="1" applyFont="1" applyFill="1" applyAlignment="1">
      <alignment horizontal="left"/>
    </xf>
    <xf numFmtId="0" fontId="40" fillId="4" borderId="0" xfId="1" applyFont="1" applyFill="1" applyAlignment="1"/>
    <xf numFmtId="0" fontId="40" fillId="4" borderId="0" xfId="1" applyFont="1" applyFill="1" applyAlignment="1">
      <alignment horizontal="center"/>
    </xf>
    <xf numFmtId="0" fontId="40" fillId="2" borderId="0" xfId="1" applyNumberFormat="1" applyFont="1" applyFill="1" applyAlignment="1">
      <alignment horizontal="right"/>
    </xf>
    <xf numFmtId="0" fontId="40" fillId="2" borderId="0" xfId="1" applyFont="1" applyFill="1" applyBorder="1" applyAlignment="1">
      <alignment horizontal="right" textRotation="90"/>
    </xf>
    <xf numFmtId="0" fontId="40" fillId="16" borderId="0" xfId="1" applyFont="1" applyFill="1" applyAlignment="1">
      <alignment vertical="center"/>
    </xf>
    <xf numFmtId="0" fontId="40" fillId="4" borderId="0" xfId="1" applyFont="1" applyFill="1" applyAlignment="1">
      <alignment horizontal="left" vertical="center" wrapText="1"/>
    </xf>
    <xf numFmtId="0" fontId="40" fillId="4" borderId="0" xfId="1" applyFont="1" applyFill="1" applyAlignment="1">
      <alignment horizontal="left" vertical="center"/>
    </xf>
    <xf numFmtId="0" fontId="40" fillId="4" borderId="0" xfId="1" applyFont="1" applyFill="1" applyAlignment="1">
      <alignment vertical="center"/>
    </xf>
    <xf numFmtId="0" fontId="40" fillId="4" borderId="0" xfId="1" applyFont="1" applyFill="1" applyAlignment="1">
      <alignment horizontal="center" vertical="center"/>
    </xf>
    <xf numFmtId="0" fontId="44" fillId="2" borderId="7" xfId="1" applyNumberFormat="1" applyFont="1" applyFill="1" applyBorder="1" applyAlignment="1">
      <alignment horizontal="center" vertical="center" wrapText="1"/>
    </xf>
    <xf numFmtId="49" fontId="45" fillId="2" borderId="1" xfId="1" applyNumberFormat="1" applyFont="1" applyFill="1" applyBorder="1" applyAlignment="1">
      <alignment horizontal="center" vertical="center" wrapText="1"/>
    </xf>
    <xf numFmtId="0" fontId="45" fillId="17" borderId="1" xfId="1" applyNumberFormat="1" applyFont="1" applyFill="1" applyBorder="1" applyAlignment="1">
      <alignment horizontal="center" vertical="center" wrapText="1"/>
    </xf>
    <xf numFmtId="49" fontId="45" fillId="17" borderId="1" xfId="1" applyNumberFormat="1" applyFont="1" applyFill="1" applyBorder="1" applyAlignment="1">
      <alignment horizontal="center" vertical="center" wrapText="1"/>
    </xf>
    <xf numFmtId="0" fontId="44" fillId="17" borderId="1" xfId="1" applyFont="1" applyFill="1" applyBorder="1" applyAlignment="1">
      <alignment vertical="center"/>
    </xf>
    <xf numFmtId="0" fontId="45" fillId="0" borderId="1" xfId="1" applyFont="1" applyBorder="1" applyAlignment="1">
      <alignment horizontal="center" vertical="center" wrapText="1"/>
    </xf>
    <xf numFmtId="0" fontId="45" fillId="0" borderId="1" xfId="1" applyFont="1" applyBorder="1" applyAlignment="1">
      <alignment vertical="center" wrapText="1"/>
    </xf>
    <xf numFmtId="0" fontId="45" fillId="0" borderId="7" xfId="1" applyFont="1" applyBorder="1" applyAlignment="1">
      <alignment vertical="center" wrapText="1"/>
    </xf>
    <xf numFmtId="0" fontId="44" fillId="2" borderId="1" xfId="1" applyFont="1" applyFill="1" applyBorder="1" applyAlignment="1">
      <alignment vertical="center"/>
    </xf>
    <xf numFmtId="0" fontId="44" fillId="2" borderId="1" xfId="1" applyFont="1" applyFill="1" applyBorder="1" applyAlignment="1">
      <alignment horizontal="left" vertical="center"/>
    </xf>
    <xf numFmtId="0" fontId="44" fillId="2" borderId="1" xfId="1" applyNumberFormat="1" applyFont="1" applyFill="1" applyBorder="1" applyAlignment="1">
      <alignment horizontal="left" vertical="center" wrapText="1"/>
    </xf>
    <xf numFmtId="0" fontId="44" fillId="2" borderId="1" xfId="1" applyNumberFormat="1" applyFont="1" applyFill="1" applyBorder="1" applyAlignment="1">
      <alignment horizontal="center" vertical="center" wrapText="1"/>
    </xf>
    <xf numFmtId="49" fontId="44" fillId="2" borderId="1" xfId="1" applyNumberFormat="1" applyFont="1" applyFill="1" applyBorder="1" applyAlignment="1">
      <alignment horizontal="center" vertical="center"/>
    </xf>
    <xf numFmtId="0" fontId="44" fillId="2" borderId="1" xfId="1" applyFont="1" applyFill="1" applyBorder="1" applyAlignment="1">
      <alignment vertical="center" wrapText="1"/>
    </xf>
    <xf numFmtId="0" fontId="44" fillId="2" borderId="1" xfId="1" applyNumberFormat="1" applyFont="1" applyFill="1" applyBorder="1" applyAlignment="1">
      <alignment vertical="center"/>
    </xf>
    <xf numFmtId="0" fontId="44" fillId="2" borderId="1" xfId="1" applyNumberFormat="1" applyFont="1" applyFill="1" applyBorder="1" applyAlignment="1">
      <alignment horizontal="center" vertical="center"/>
    </xf>
    <xf numFmtId="0" fontId="44" fillId="2" borderId="1" xfId="1" applyNumberFormat="1" applyFont="1" applyFill="1" applyBorder="1" applyAlignment="1">
      <alignment horizontal="left" vertical="center"/>
    </xf>
    <xf numFmtId="49" fontId="44" fillId="2" borderId="1" xfId="1" applyNumberFormat="1" applyFont="1" applyFill="1" applyBorder="1" applyAlignment="1">
      <alignment horizontal="left" vertical="center"/>
    </xf>
    <xf numFmtId="2" fontId="44" fillId="2" borderId="1" xfId="1" applyNumberFormat="1" applyFont="1" applyFill="1" applyBorder="1" applyAlignment="1">
      <alignment horizontal="left" vertical="center"/>
    </xf>
    <xf numFmtId="0" fontId="45" fillId="2" borderId="1" xfId="1" applyNumberFormat="1" applyFont="1" applyFill="1" applyBorder="1" applyAlignment="1">
      <alignment horizontal="center" vertical="center" wrapText="1"/>
    </xf>
    <xf numFmtId="1" fontId="45" fillId="2" borderId="1" xfId="1" applyNumberFormat="1" applyFont="1" applyFill="1" applyBorder="1" applyAlignment="1">
      <alignment horizontal="center" vertical="center"/>
    </xf>
    <xf numFmtId="1" fontId="44" fillId="2" borderId="1" xfId="1" applyNumberFormat="1" applyFont="1" applyFill="1" applyBorder="1" applyAlignment="1">
      <alignment horizontal="center" vertical="center" wrapText="1"/>
    </xf>
    <xf numFmtId="1" fontId="44" fillId="2" borderId="1" xfId="1" applyNumberFormat="1" applyFont="1" applyFill="1" applyBorder="1" applyAlignment="1">
      <alignment horizontal="center" vertical="center"/>
    </xf>
    <xf numFmtId="0" fontId="45" fillId="2" borderId="1" xfId="1" applyFont="1" applyFill="1" applyBorder="1" applyAlignment="1">
      <alignment horizontal="center" vertical="center"/>
    </xf>
    <xf numFmtId="2" fontId="44" fillId="2" borderId="1" xfId="1" applyNumberFormat="1" applyFont="1" applyFill="1" applyBorder="1" applyAlignment="1">
      <alignment horizontal="center" vertical="center"/>
    </xf>
    <xf numFmtId="1" fontId="45" fillId="2" borderId="1" xfId="1" applyNumberFormat="1" applyFont="1" applyFill="1" applyBorder="1" applyAlignment="1">
      <alignment horizontal="right" vertical="center"/>
    </xf>
    <xf numFmtId="2" fontId="45" fillId="2" borderId="1" xfId="1" applyNumberFormat="1" applyFont="1" applyFill="1" applyBorder="1" applyAlignment="1">
      <alignment horizontal="center" vertical="center"/>
    </xf>
    <xf numFmtId="0" fontId="44" fillId="17" borderId="3" xfId="1" applyFont="1" applyFill="1" applyBorder="1" applyAlignment="1">
      <alignment vertical="center"/>
    </xf>
    <xf numFmtId="0" fontId="45" fillId="17" borderId="3" xfId="1" applyFont="1" applyFill="1" applyBorder="1" applyAlignment="1">
      <alignment vertical="center" wrapText="1"/>
    </xf>
    <xf numFmtId="0" fontId="44" fillId="0" borderId="1" xfId="1" applyFont="1" applyBorder="1" applyAlignment="1">
      <alignment horizontal="center" vertical="center" wrapText="1"/>
    </xf>
    <xf numFmtId="0" fontId="44" fillId="0" borderId="9" xfId="1" applyFont="1" applyBorder="1" applyAlignment="1">
      <alignment horizontal="center" vertical="center" wrapText="1"/>
    </xf>
    <xf numFmtId="0" fontId="44" fillId="0" borderId="1" xfId="1" applyFont="1" applyBorder="1" applyAlignment="1">
      <alignment vertical="center" wrapText="1"/>
    </xf>
    <xf numFmtId="0" fontId="69" fillId="36" borderId="0" xfId="1" applyFont="1" applyFill="1" applyAlignment="1">
      <alignment horizontal="center" vertical="center"/>
    </xf>
    <xf numFmtId="0" fontId="69" fillId="36" borderId="1" xfId="1" applyFont="1" applyFill="1" applyBorder="1" applyAlignment="1">
      <alignment horizontal="center" vertical="center"/>
    </xf>
    <xf numFmtId="0" fontId="69" fillId="36" borderId="1" xfId="1" applyFont="1" applyFill="1" applyBorder="1" applyAlignment="1">
      <alignment horizontal="center" vertical="center" wrapText="1"/>
    </xf>
    <xf numFmtId="0" fontId="69" fillId="36" borderId="7" xfId="1" applyFont="1" applyFill="1" applyBorder="1" applyAlignment="1">
      <alignment horizontal="center" vertical="center"/>
    </xf>
    <xf numFmtId="0" fontId="69" fillId="36" borderId="9" xfId="1" applyFont="1" applyFill="1" applyBorder="1" applyAlignment="1">
      <alignment horizontal="center" vertical="center"/>
    </xf>
    <xf numFmtId="0" fontId="45" fillId="35" borderId="0" xfId="1" applyFont="1" applyFill="1" applyAlignment="1">
      <alignment horizontal="center" vertical="center"/>
    </xf>
    <xf numFmtId="0" fontId="45" fillId="35" borderId="1" xfId="1" applyFont="1" applyFill="1" applyBorder="1" applyAlignment="1">
      <alignment horizontal="center" vertical="center"/>
    </xf>
    <xf numFmtId="0" fontId="45" fillId="35" borderId="1" xfId="1" applyFont="1" applyFill="1" applyBorder="1" applyAlignment="1">
      <alignment horizontal="center" vertical="center" wrapText="1"/>
    </xf>
    <xf numFmtId="0" fontId="45" fillId="17" borderId="1" xfId="1" applyFont="1" applyFill="1" applyBorder="1" applyAlignment="1">
      <alignment horizontal="center" vertical="center"/>
    </xf>
    <xf numFmtId="0" fontId="45" fillId="35" borderId="7" xfId="1" applyFont="1" applyFill="1" applyBorder="1" applyAlignment="1">
      <alignment vertical="center"/>
    </xf>
    <xf numFmtId="0" fontId="45" fillId="17" borderId="1" xfId="1" applyFont="1" applyFill="1" applyBorder="1" applyAlignment="1">
      <alignment vertical="center"/>
    </xf>
    <xf numFmtId="0" fontId="45" fillId="35" borderId="7" xfId="1" applyFont="1" applyFill="1" applyBorder="1" applyAlignment="1">
      <alignment horizontal="center" vertical="center" wrapText="1"/>
    </xf>
    <xf numFmtId="0" fontId="45" fillId="35" borderId="9" xfId="1" applyFont="1" applyFill="1" applyBorder="1" applyAlignment="1">
      <alignment horizontal="center" vertical="center"/>
    </xf>
    <xf numFmtId="0" fontId="45" fillId="35" borderId="7" xfId="1" applyFont="1" applyFill="1" applyBorder="1" applyAlignment="1">
      <alignment horizontal="center" vertical="center"/>
    </xf>
    <xf numFmtId="0" fontId="45" fillId="35" borderId="8" xfId="1" applyFont="1" applyFill="1" applyBorder="1" applyAlignment="1">
      <alignment horizontal="center" vertical="center"/>
    </xf>
    <xf numFmtId="0" fontId="45" fillId="35" borderId="8" xfId="1" applyFont="1" applyFill="1" applyBorder="1" applyAlignment="1">
      <alignment horizontal="left" vertical="center"/>
    </xf>
    <xf numFmtId="0" fontId="45" fillId="34" borderId="8" xfId="1" applyFont="1" applyFill="1" applyBorder="1" applyAlignment="1">
      <alignment horizontal="center" vertical="center" textRotation="90"/>
    </xf>
    <xf numFmtId="0" fontId="45" fillId="34" borderId="9" xfId="1" applyFont="1" applyFill="1" applyBorder="1" applyAlignment="1">
      <alignment horizontal="center" vertical="center"/>
    </xf>
    <xf numFmtId="0" fontId="45" fillId="35" borderId="9" xfId="1" applyFont="1" applyFill="1" applyBorder="1" applyAlignment="1">
      <alignment horizontal="center" vertical="center" wrapText="1"/>
    </xf>
    <xf numFmtId="0" fontId="45" fillId="35" borderId="9" xfId="1" applyFont="1" applyFill="1" applyBorder="1" applyAlignment="1">
      <alignment horizontal="left" vertical="center"/>
    </xf>
    <xf numFmtId="0" fontId="45" fillId="35" borderId="7" xfId="1" applyFont="1" applyFill="1" applyBorder="1" applyAlignment="1">
      <alignment horizontal="right" vertical="center" wrapText="1"/>
    </xf>
    <xf numFmtId="0" fontId="45" fillId="34" borderId="7" xfId="1" applyFont="1" applyFill="1" applyBorder="1" applyAlignment="1">
      <alignment horizontal="center" vertical="center"/>
    </xf>
    <xf numFmtId="0" fontId="45" fillId="35" borderId="8" xfId="1" applyFont="1" applyFill="1" applyBorder="1" applyAlignment="1">
      <alignment horizontal="center" vertical="center" wrapText="1"/>
    </xf>
    <xf numFmtId="0" fontId="45" fillId="17" borderId="9" xfId="1" applyFont="1" applyFill="1" applyBorder="1" applyAlignment="1">
      <alignment horizontal="center" vertical="center"/>
    </xf>
    <xf numFmtId="0" fontId="45" fillId="17" borderId="0" xfId="1" applyFont="1" applyFill="1" applyAlignment="1">
      <alignment horizontal="left" vertical="center"/>
    </xf>
    <xf numFmtId="0" fontId="45" fillId="16" borderId="0" xfId="1" applyNumberFormat="1" applyFont="1" applyFill="1" applyBorder="1" applyAlignment="1">
      <alignment horizontal="center" vertical="center"/>
    </xf>
    <xf numFmtId="0" fontId="40" fillId="16" borderId="1" xfId="1" applyFont="1" applyFill="1" applyBorder="1" applyAlignment="1">
      <alignment horizontal="center" vertical="center"/>
    </xf>
    <xf numFmtId="0" fontId="40" fillId="16" borderId="1" xfId="1" applyFont="1" applyFill="1" applyBorder="1" applyAlignment="1">
      <alignment horizontal="left" vertical="center"/>
    </xf>
    <xf numFmtId="49" fontId="40" fillId="16" borderId="1" xfId="1" applyNumberFormat="1" applyFont="1" applyFill="1" applyBorder="1" applyAlignment="1">
      <alignment horizontal="center" vertical="center" textRotation="90"/>
    </xf>
    <xf numFmtId="49" fontId="40" fillId="16" borderId="1" xfId="1" applyNumberFormat="1" applyFont="1" applyFill="1" applyBorder="1" applyAlignment="1">
      <alignment horizontal="center" vertical="center"/>
    </xf>
    <xf numFmtId="0" fontId="40" fillId="16" borderId="1" xfId="1" applyNumberFormat="1" applyFont="1" applyFill="1" applyBorder="1" applyAlignment="1">
      <alignment horizontal="center" vertical="center"/>
    </xf>
    <xf numFmtId="0" fontId="40" fillId="16" borderId="7" xfId="1" applyFont="1" applyFill="1" applyBorder="1" applyAlignment="1">
      <alignment horizontal="left" vertical="center"/>
    </xf>
    <xf numFmtId="0" fontId="40" fillId="16" borderId="13" xfId="1" applyNumberFormat="1" applyFont="1" applyFill="1" applyBorder="1" applyAlignment="1">
      <alignment horizontal="left" vertical="center"/>
    </xf>
    <xf numFmtId="2" fontId="40" fillId="16" borderId="1" xfId="1" applyNumberFormat="1" applyFont="1" applyFill="1" applyBorder="1" applyAlignment="1">
      <alignment horizontal="right" vertical="center"/>
    </xf>
    <xf numFmtId="2" fontId="40" fillId="16" borderId="7" xfId="1" applyNumberFormat="1" applyFont="1" applyFill="1" applyBorder="1" applyAlignment="1">
      <alignment horizontal="right" vertical="center"/>
    </xf>
    <xf numFmtId="2" fontId="40" fillId="16" borderId="1" xfId="1" applyNumberFormat="1" applyFont="1" applyFill="1" applyBorder="1" applyAlignment="1">
      <alignment horizontal="center" vertical="center"/>
    </xf>
    <xf numFmtId="2" fontId="68" fillId="2" borderId="9" xfId="1" applyNumberFormat="1" applyFont="1" applyFill="1" applyBorder="1" applyAlignment="1">
      <alignment horizontal="center" vertical="center"/>
    </xf>
    <xf numFmtId="0" fontId="68" fillId="2" borderId="14" xfId="1" applyNumberFormat="1" applyFont="1" applyFill="1" applyBorder="1" applyAlignment="1">
      <alignment horizontal="left" vertical="center" wrapText="1"/>
    </xf>
    <xf numFmtId="2" fontId="68" fillId="2" borderId="13" xfId="1" applyNumberFormat="1" applyFont="1" applyFill="1" applyBorder="1" applyAlignment="1">
      <alignment horizontal="center" vertical="center"/>
    </xf>
    <xf numFmtId="2" fontId="68" fillId="2" borderId="7" xfId="1" applyNumberFormat="1" applyFont="1" applyFill="1" applyBorder="1" applyAlignment="1">
      <alignment horizontal="center" vertical="center"/>
    </xf>
    <xf numFmtId="0" fontId="68" fillId="2" borderId="7" xfId="1" applyNumberFormat="1" applyFont="1" applyFill="1" applyBorder="1" applyAlignment="1">
      <alignment vertical="center" wrapText="1"/>
    </xf>
    <xf numFmtId="0" fontId="68" fillId="2" borderId="8" xfId="1" applyNumberFormat="1" applyFont="1" applyFill="1" applyBorder="1" applyAlignment="1">
      <alignment horizontal="left" vertical="center" wrapText="1"/>
    </xf>
    <xf numFmtId="0" fontId="68" fillId="2" borderId="9" xfId="1" applyNumberFormat="1" applyFont="1" applyFill="1" applyBorder="1" applyAlignment="1">
      <alignment horizontal="left" vertical="center" wrapText="1"/>
    </xf>
    <xf numFmtId="2" fontId="68" fillId="2" borderId="1" xfId="1" applyNumberFormat="1" applyFont="1" applyFill="1" applyBorder="1" applyAlignment="1">
      <alignment horizontal="center" vertical="center" wrapText="1"/>
    </xf>
    <xf numFmtId="0" fontId="68" fillId="2" borderId="7" xfId="1" applyNumberFormat="1" applyFont="1" applyFill="1" applyBorder="1" applyAlignment="1">
      <alignment horizontal="right" vertical="center" wrapText="1"/>
    </xf>
    <xf numFmtId="49" fontId="68" fillId="16" borderId="7" xfId="1" applyNumberFormat="1" applyFont="1" applyFill="1" applyBorder="1" applyAlignment="1">
      <alignment horizontal="right" vertical="center"/>
    </xf>
    <xf numFmtId="2" fontId="68" fillId="16" borderId="8" xfId="1" applyNumberFormat="1" applyFont="1" applyFill="1" applyBorder="1" applyAlignment="1">
      <alignment horizontal="left" vertical="center"/>
    </xf>
    <xf numFmtId="49" fontId="68" fillId="16" borderId="8" xfId="1" applyNumberFormat="1" applyFont="1" applyFill="1" applyBorder="1" applyAlignment="1">
      <alignment horizontal="center" vertical="center"/>
    </xf>
    <xf numFmtId="49" fontId="68" fillId="16" borderId="8" xfId="1" applyNumberFormat="1" applyFont="1" applyFill="1" applyBorder="1" applyAlignment="1">
      <alignment horizontal="left" vertical="center"/>
    </xf>
    <xf numFmtId="0" fontId="68" fillId="16" borderId="9" xfId="1" applyNumberFormat="1" applyFont="1" applyFill="1" applyBorder="1" applyAlignment="1">
      <alignment horizontal="left" vertical="center"/>
    </xf>
    <xf numFmtId="0" fontId="68" fillId="16" borderId="7" xfId="1" applyNumberFormat="1" applyFont="1" applyFill="1" applyBorder="1" applyAlignment="1">
      <alignment horizontal="center" vertical="center"/>
    </xf>
    <xf numFmtId="0" fontId="68" fillId="16" borderId="9" xfId="1" applyNumberFormat="1" applyFont="1" applyFill="1" applyBorder="1" applyAlignment="1">
      <alignment horizontal="left" vertical="center" wrapText="1"/>
    </xf>
    <xf numFmtId="0" fontId="68" fillId="2" borderId="7" xfId="1" applyFont="1" applyFill="1" applyBorder="1" applyAlignment="1">
      <alignment vertical="center"/>
    </xf>
    <xf numFmtId="0" fontId="68" fillId="2" borderId="8" xfId="1" applyFont="1" applyFill="1" applyBorder="1" applyAlignment="1">
      <alignment horizontal="left" vertical="center"/>
    </xf>
    <xf numFmtId="49" fontId="68" fillId="0" borderId="9" xfId="1" applyNumberFormat="1" applyFont="1" applyBorder="1" applyAlignment="1">
      <alignment horizontal="left" vertical="center"/>
    </xf>
    <xf numFmtId="49" fontId="68" fillId="0" borderId="7" xfId="1" applyNumberFormat="1" applyFont="1" applyBorder="1" applyAlignment="1">
      <alignment horizontal="right" vertical="center"/>
    </xf>
    <xf numFmtId="2" fontId="68" fillId="0" borderId="8" xfId="1" applyNumberFormat="1" applyFont="1" applyBorder="1" applyAlignment="1">
      <alignment horizontal="left" vertical="center"/>
    </xf>
    <xf numFmtId="49" fontId="68" fillId="2" borderId="7" xfId="1" applyNumberFormat="1" applyFont="1" applyFill="1" applyBorder="1" applyAlignment="1">
      <alignment horizontal="center" vertical="center"/>
    </xf>
    <xf numFmtId="49" fontId="68" fillId="0" borderId="8" xfId="1" applyNumberFormat="1" applyFont="1" applyBorder="1" applyAlignment="1">
      <alignment horizontal="left" vertical="center"/>
    </xf>
    <xf numFmtId="0" fontId="68" fillId="0" borderId="9" xfId="1" applyNumberFormat="1" applyFont="1" applyBorder="1" applyAlignment="1">
      <alignment horizontal="left" vertical="center"/>
    </xf>
    <xf numFmtId="1" fontId="45" fillId="16" borderId="1" xfId="1" applyNumberFormat="1" applyFont="1" applyFill="1" applyBorder="1" applyAlignment="1">
      <alignment horizontal="center" vertical="center" wrapText="1"/>
    </xf>
    <xf numFmtId="0" fontId="45" fillId="16" borderId="8" xfId="1" applyNumberFormat="1" applyFont="1" applyFill="1" applyBorder="1" applyAlignment="1">
      <alignment horizontal="center" vertical="center"/>
    </xf>
    <xf numFmtId="2" fontId="45" fillId="16" borderId="1" xfId="1" applyNumberFormat="1" applyFont="1" applyFill="1" applyBorder="1" applyAlignment="1">
      <alignment horizontal="left" vertical="center"/>
    </xf>
    <xf numFmtId="0" fontId="45" fillId="16" borderId="1" xfId="1" applyNumberFormat="1" applyFont="1" applyFill="1" applyBorder="1" applyAlignment="1">
      <alignment horizontal="center" vertical="center"/>
    </xf>
    <xf numFmtId="1" fontId="45" fillId="16" borderId="7" xfId="1" applyNumberFormat="1" applyFont="1" applyFill="1" applyBorder="1" applyAlignment="1">
      <alignment horizontal="center" vertical="center"/>
    </xf>
    <xf numFmtId="1" fontId="45" fillId="16" borderId="1" xfId="1" applyNumberFormat="1" applyFont="1" applyFill="1" applyBorder="1" applyAlignment="1">
      <alignment horizontal="center" vertical="center"/>
    </xf>
    <xf numFmtId="0" fontId="45" fillId="16" borderId="1" xfId="1" applyFont="1" applyFill="1" applyBorder="1" applyAlignment="1">
      <alignment horizontal="center" vertical="center"/>
    </xf>
    <xf numFmtId="2" fontId="45" fillId="16" borderId="1" xfId="1" applyNumberFormat="1" applyFont="1" applyFill="1" applyBorder="1" applyAlignment="1">
      <alignment horizontal="center" vertical="center"/>
    </xf>
    <xf numFmtId="1" fontId="45" fillId="16" borderId="27" xfId="1" applyNumberFormat="1" applyFont="1" applyFill="1" applyBorder="1" applyAlignment="1">
      <alignment horizontal="center" vertical="center"/>
    </xf>
    <xf numFmtId="2" fontId="45" fillId="16" borderId="8" xfId="1" applyNumberFormat="1" applyFont="1" applyFill="1" applyBorder="1" applyAlignment="1">
      <alignment horizontal="center" vertical="center"/>
    </xf>
    <xf numFmtId="0" fontId="45" fillId="16" borderId="9" xfId="1" applyFont="1" applyFill="1" applyBorder="1" applyAlignment="1">
      <alignment vertical="center"/>
    </xf>
    <xf numFmtId="0" fontId="45" fillId="16" borderId="1" xfId="1" applyFont="1" applyFill="1" applyBorder="1" applyAlignment="1">
      <alignment vertical="center"/>
    </xf>
    <xf numFmtId="1" fontId="45" fillId="16" borderId="15" xfId="1" applyNumberFormat="1" applyFont="1" applyFill="1" applyBorder="1" applyAlignment="1">
      <alignment horizontal="center" vertical="center"/>
    </xf>
    <xf numFmtId="1" fontId="45" fillId="16" borderId="9" xfId="1" applyNumberFormat="1" applyFont="1" applyFill="1" applyBorder="1" applyAlignment="1">
      <alignment horizontal="center" vertical="center"/>
    </xf>
    <xf numFmtId="0" fontId="45" fillId="16" borderId="1" xfId="1" applyNumberFormat="1" applyFont="1" applyFill="1" applyBorder="1" applyAlignment="1">
      <alignment horizontal="left" vertical="center"/>
    </xf>
    <xf numFmtId="49" fontId="45" fillId="16" borderId="0" xfId="1" applyNumberFormat="1" applyFont="1" applyFill="1" applyBorder="1" applyAlignment="1">
      <alignment vertical="center"/>
    </xf>
    <xf numFmtId="0" fontId="45" fillId="16" borderId="0" xfId="1" applyNumberFormat="1" applyFont="1" applyFill="1" applyBorder="1" applyAlignment="1">
      <alignment vertical="center"/>
    </xf>
    <xf numFmtId="0" fontId="45" fillId="16" borderId="0" xfId="1" applyNumberFormat="1" applyFont="1" applyFill="1" applyBorder="1" applyAlignment="1">
      <alignment horizontal="left" vertical="center"/>
    </xf>
    <xf numFmtId="0" fontId="45" fillId="16" borderId="0" xfId="1" applyFont="1" applyFill="1" applyAlignment="1">
      <alignment vertical="center"/>
    </xf>
    <xf numFmtId="49" fontId="45" fillId="16" borderId="0" xfId="1" applyNumberFormat="1" applyFont="1" applyFill="1" applyBorder="1" applyAlignment="1">
      <alignment horizontal="left" vertical="center"/>
    </xf>
    <xf numFmtId="0" fontId="45" fillId="16" borderId="0" xfId="1" applyNumberFormat="1" applyFont="1" applyFill="1" applyAlignment="1">
      <alignment horizontal="center" vertical="center"/>
    </xf>
    <xf numFmtId="2" fontId="45" fillId="16" borderId="0" xfId="1" applyNumberFormat="1" applyFont="1" applyFill="1" applyBorder="1" applyAlignment="1">
      <alignment horizontal="left" vertical="center"/>
    </xf>
    <xf numFmtId="1" fontId="45" fillId="16" borderId="0" xfId="1" applyNumberFormat="1" applyFont="1" applyFill="1" applyBorder="1" applyAlignment="1">
      <alignment horizontal="center" vertical="center"/>
    </xf>
    <xf numFmtId="0" fontId="45" fillId="16" borderId="0" xfId="1" applyFont="1" applyFill="1" applyBorder="1" applyAlignment="1">
      <alignment horizontal="center" vertical="center"/>
    </xf>
    <xf numFmtId="2" fontId="45" fillId="16" borderId="0" xfId="1" applyNumberFormat="1" applyFont="1" applyFill="1" applyBorder="1" applyAlignment="1">
      <alignment horizontal="center" vertical="center"/>
    </xf>
    <xf numFmtId="1" fontId="45" fillId="16" borderId="0" xfId="1" applyNumberFormat="1" applyFont="1" applyFill="1" applyBorder="1" applyAlignment="1">
      <alignment horizontal="right" vertical="center"/>
    </xf>
    <xf numFmtId="0" fontId="45" fillId="16" borderId="0" xfId="1" applyFont="1" applyFill="1" applyBorder="1" applyAlignment="1">
      <alignment vertical="center"/>
    </xf>
    <xf numFmtId="0" fontId="39" fillId="16" borderId="1" xfId="1" applyNumberFormat="1" applyFont="1" applyFill="1" applyBorder="1" applyAlignment="1">
      <alignment horizontal="center" vertical="center" wrapText="1"/>
    </xf>
    <xf numFmtId="0" fontId="42" fillId="2" borderId="1" xfId="1" applyFont="1" applyFill="1" applyBorder="1" applyAlignment="1">
      <alignment horizontal="center" vertical="center"/>
    </xf>
    <xf numFmtId="0" fontId="39" fillId="2" borderId="1" xfId="1" applyFont="1" applyFill="1" applyBorder="1" applyAlignment="1">
      <alignment horizontal="left" vertical="center" wrapText="1"/>
    </xf>
    <xf numFmtId="49" fontId="39" fillId="2" borderId="1" xfId="1" applyNumberFormat="1" applyFont="1" applyFill="1" applyBorder="1" applyAlignment="1">
      <alignment horizontal="center" vertical="center" textRotation="90" wrapText="1"/>
    </xf>
    <xf numFmtId="49" fontId="39" fillId="2" borderId="1" xfId="1" applyNumberFormat="1" applyFont="1" applyFill="1" applyBorder="1" applyAlignment="1">
      <alignment horizontal="center" vertical="center" wrapText="1"/>
    </xf>
    <xf numFmtId="0" fontId="39" fillId="16" borderId="1" xfId="1" applyFont="1" applyFill="1" applyBorder="1" applyAlignment="1">
      <alignment horizontal="left" vertical="center" wrapText="1"/>
    </xf>
    <xf numFmtId="2" fontId="39" fillId="2" borderId="1" xfId="1" applyNumberFormat="1" applyFont="1" applyFill="1" applyBorder="1" applyAlignment="1">
      <alignment horizontal="right" vertical="center"/>
    </xf>
    <xf numFmtId="2" fontId="39" fillId="2" borderId="1" xfId="1" applyNumberFormat="1" applyFont="1" applyFill="1" applyBorder="1" applyAlignment="1">
      <alignment horizontal="center" vertical="center" wrapText="1"/>
    </xf>
    <xf numFmtId="0" fontId="39" fillId="2" borderId="7" xfId="1" applyNumberFormat="1" applyFont="1" applyFill="1" applyBorder="1" applyAlignment="1">
      <alignment vertical="center" wrapText="1"/>
    </xf>
    <xf numFmtId="2" fontId="39" fillId="2" borderId="20" xfId="1" applyNumberFormat="1" applyFont="1" applyFill="1" applyBorder="1" applyAlignment="1">
      <alignment horizontal="center" vertical="center" wrapText="1"/>
    </xf>
    <xf numFmtId="0" fontId="39" fillId="2" borderId="1" xfId="1" applyNumberFormat="1" applyFont="1" applyFill="1" applyBorder="1" applyAlignment="1">
      <alignment horizontal="right" vertical="center" wrapText="1"/>
    </xf>
    <xf numFmtId="49" fontId="39" fillId="16" borderId="1" xfId="1" applyNumberFormat="1" applyFont="1" applyFill="1" applyBorder="1" applyAlignment="1">
      <alignment horizontal="right" vertical="center"/>
    </xf>
    <xf numFmtId="49" fontId="39" fillId="2" borderId="7" xfId="1" applyNumberFormat="1" applyFont="1" applyFill="1" applyBorder="1" applyAlignment="1">
      <alignment horizontal="center" vertical="center"/>
    </xf>
    <xf numFmtId="49" fontId="39" fillId="16" borderId="8" xfId="1" applyNumberFormat="1" applyFont="1" applyFill="1" applyBorder="1" applyAlignment="1">
      <alignment horizontal="left" vertical="center"/>
    </xf>
    <xf numFmtId="0" fontId="39" fillId="16" borderId="9" xfId="1" applyNumberFormat="1" applyFont="1" applyFill="1" applyBorder="1" applyAlignment="1">
      <alignment horizontal="left" vertical="center"/>
    </xf>
    <xf numFmtId="0" fontId="39" fillId="16" borderId="1" xfId="1" applyNumberFormat="1" applyFont="1" applyFill="1" applyBorder="1" applyAlignment="1">
      <alignment horizontal="center" vertical="center"/>
    </xf>
    <xf numFmtId="0" fontId="39" fillId="16" borderId="1" xfId="1" applyNumberFormat="1" applyFont="1" applyFill="1" applyBorder="1" applyAlignment="1">
      <alignment horizontal="left" vertical="center" wrapText="1"/>
    </xf>
    <xf numFmtId="0" fontId="39" fillId="2" borderId="7" xfId="1" applyFont="1" applyFill="1" applyBorder="1" applyAlignment="1">
      <alignment vertical="center"/>
    </xf>
    <xf numFmtId="0" fontId="39" fillId="2" borderId="8" xfId="1" applyFont="1" applyFill="1" applyBorder="1" applyAlignment="1">
      <alignment horizontal="left" vertical="center"/>
    </xf>
    <xf numFmtId="49" fontId="39" fillId="0" borderId="8" xfId="1" applyNumberFormat="1" applyFont="1" applyBorder="1" applyAlignment="1">
      <alignment horizontal="left" vertical="center"/>
    </xf>
    <xf numFmtId="2" fontId="39" fillId="16" borderId="20" xfId="1" applyNumberFormat="1" applyFont="1" applyFill="1" applyBorder="1" applyAlignment="1">
      <alignment horizontal="right" vertical="center"/>
    </xf>
    <xf numFmtId="49" fontId="39" fillId="0" borderId="1" xfId="1" applyNumberFormat="1" applyFont="1" applyBorder="1" applyAlignment="1">
      <alignment horizontal="right" vertical="center"/>
    </xf>
    <xf numFmtId="2" fontId="39" fillId="0" borderId="1" xfId="1" applyNumberFormat="1" applyFont="1" applyBorder="1" applyAlignment="1">
      <alignment horizontal="left" vertical="center"/>
    </xf>
    <xf numFmtId="0" fontId="39" fillId="0" borderId="9" xfId="1" applyNumberFormat="1" applyFont="1" applyBorder="1" applyAlignment="1">
      <alignment horizontal="left" vertical="center"/>
    </xf>
    <xf numFmtId="49" fontId="39" fillId="16" borderId="1" xfId="1" applyNumberFormat="1" applyFont="1" applyFill="1" applyBorder="1" applyAlignment="1">
      <alignment vertical="center" wrapText="1"/>
    </xf>
    <xf numFmtId="1" fontId="39" fillId="16" borderId="1" xfId="1" applyNumberFormat="1" applyFont="1" applyFill="1" applyBorder="1" applyAlignment="1">
      <alignment horizontal="center" vertical="center" wrapText="1"/>
    </xf>
    <xf numFmtId="1" fontId="39" fillId="16" borderId="1" xfId="1" applyNumberFormat="1" applyFont="1" applyFill="1" applyBorder="1" applyAlignment="1">
      <alignment horizontal="center" vertical="center"/>
    </xf>
    <xf numFmtId="2" fontId="39" fillId="16" borderId="1" xfId="1" applyNumberFormat="1" applyFont="1" applyFill="1" applyBorder="1" applyAlignment="1">
      <alignment horizontal="center" vertical="center"/>
    </xf>
    <xf numFmtId="0" fontId="39" fillId="16" borderId="1" xfId="1" applyFont="1" applyFill="1" applyBorder="1" applyAlignment="1">
      <alignment horizontal="center" vertical="center"/>
    </xf>
    <xf numFmtId="1" fontId="39" fillId="16" borderId="1" xfId="1" applyNumberFormat="1" applyFont="1" applyFill="1" applyBorder="1" applyAlignment="1">
      <alignment horizontal="right" vertical="center" wrapText="1"/>
    </xf>
    <xf numFmtId="1" fontId="39" fillId="16" borderId="1" xfId="1" applyNumberFormat="1" applyFont="1" applyFill="1" applyBorder="1" applyAlignment="1">
      <alignment horizontal="left" vertical="center" wrapText="1"/>
    </xf>
    <xf numFmtId="49" fontId="39" fillId="16" borderId="1" xfId="1" applyNumberFormat="1" applyFont="1" applyFill="1" applyBorder="1" applyAlignment="1">
      <alignment horizontal="right" vertical="center" wrapText="1"/>
    </xf>
    <xf numFmtId="49" fontId="39" fillId="16" borderId="1" xfId="1" applyNumberFormat="1" applyFont="1" applyFill="1" applyBorder="1" applyAlignment="1">
      <alignment horizontal="left" vertical="center"/>
    </xf>
    <xf numFmtId="49" fontId="39" fillId="16" borderId="1" xfId="1" applyNumberFormat="1" applyFont="1" applyFill="1" applyBorder="1" applyAlignment="1">
      <alignment horizontal="center" vertical="center" wrapText="1"/>
    </xf>
    <xf numFmtId="0" fontId="40" fillId="16" borderId="1" xfId="1" applyNumberFormat="1" applyFont="1" applyFill="1" applyBorder="1" applyAlignment="1">
      <alignment horizontal="center" vertical="center" wrapText="1"/>
    </xf>
    <xf numFmtId="0" fontId="39" fillId="16" borderId="1" xfId="1" applyFont="1" applyFill="1" applyBorder="1" applyAlignment="1">
      <alignment vertical="center"/>
    </xf>
    <xf numFmtId="1" fontId="40" fillId="16" borderId="1" xfId="1" applyNumberFormat="1" applyFont="1" applyFill="1" applyBorder="1" applyAlignment="1">
      <alignment horizontal="right" vertical="center"/>
    </xf>
    <xf numFmtId="1" fontId="40" fillId="16" borderId="1" xfId="1" applyNumberFormat="1" applyFont="1" applyFill="1" applyBorder="1" applyAlignment="1">
      <alignment horizontal="center" vertical="center"/>
    </xf>
    <xf numFmtId="1" fontId="40" fillId="16" borderId="1" xfId="1" applyNumberFormat="1" applyFont="1" applyFill="1" applyBorder="1" applyAlignment="1">
      <alignment horizontal="center" vertical="center" wrapText="1"/>
    </xf>
    <xf numFmtId="0" fontId="39" fillId="16" borderId="1" xfId="1" applyNumberFormat="1" applyFont="1" applyFill="1" applyBorder="1" applyAlignment="1">
      <alignment horizontal="left" vertical="center"/>
    </xf>
    <xf numFmtId="0" fontId="39" fillId="16" borderId="1" xfId="1" applyNumberFormat="1" applyFont="1" applyFill="1" applyBorder="1" applyAlignment="1">
      <alignment vertical="center"/>
    </xf>
    <xf numFmtId="49" fontId="39" fillId="16" borderId="1" xfId="1" applyNumberFormat="1" applyFont="1" applyFill="1" applyBorder="1" applyAlignment="1">
      <alignment horizontal="center" vertical="center"/>
    </xf>
    <xf numFmtId="0" fontId="39" fillId="16" borderId="1" xfId="1" applyNumberFormat="1" applyFont="1" applyFill="1" applyBorder="1" applyAlignment="1">
      <alignment horizontal="right" vertical="center" wrapText="1"/>
    </xf>
    <xf numFmtId="49" fontId="39" fillId="16" borderId="7" xfId="1" applyNumberFormat="1" applyFont="1" applyFill="1" applyBorder="1" applyAlignment="1">
      <alignment horizontal="center" vertical="center"/>
    </xf>
    <xf numFmtId="0" fontId="39" fillId="16" borderId="0" xfId="1" applyNumberFormat="1" applyFont="1" applyFill="1" applyBorder="1" applyAlignment="1">
      <alignment horizontal="center" vertical="center"/>
    </xf>
    <xf numFmtId="2" fontId="39" fillId="16" borderId="1" xfId="1" applyNumberFormat="1" applyFont="1" applyFill="1" applyBorder="1" applyAlignment="1">
      <alignment horizontal="right" vertical="center"/>
    </xf>
    <xf numFmtId="2" fontId="39" fillId="16" borderId="7" xfId="1" applyNumberFormat="1" applyFont="1" applyFill="1" applyBorder="1" applyAlignment="1">
      <alignment horizontal="right" vertical="center"/>
    </xf>
    <xf numFmtId="2" fontId="42" fillId="2" borderId="1" xfId="1" applyNumberFormat="1" applyFont="1" applyFill="1" applyBorder="1" applyAlignment="1">
      <alignment horizontal="center" vertical="center" wrapText="1"/>
    </xf>
    <xf numFmtId="2" fontId="42" fillId="2" borderId="9" xfId="1" applyNumberFormat="1" applyFont="1" applyFill="1" applyBorder="1" applyAlignment="1">
      <alignment horizontal="center" vertical="center"/>
    </xf>
    <xf numFmtId="49" fontId="68" fillId="0" borderId="1" xfId="1" applyNumberFormat="1" applyFont="1" applyBorder="1" applyAlignment="1">
      <alignment horizontal="right" vertical="center"/>
    </xf>
    <xf numFmtId="2" fontId="68" fillId="0" borderId="1" xfId="1" applyNumberFormat="1" applyFont="1" applyBorder="1" applyAlignment="1">
      <alignment horizontal="left" vertical="center"/>
    </xf>
    <xf numFmtId="2" fontId="42" fillId="2" borderId="9" xfId="1" applyNumberFormat="1" applyFont="1" applyFill="1" applyBorder="1" applyAlignment="1">
      <alignment horizontal="left" vertical="center"/>
    </xf>
    <xf numFmtId="2" fontId="39" fillId="16" borderId="7" xfId="1" applyNumberFormat="1" applyFont="1" applyFill="1" applyBorder="1" applyAlignment="1">
      <alignment horizontal="left" vertical="center"/>
    </xf>
    <xf numFmtId="1" fontId="39" fillId="16" borderId="7" xfId="1" applyNumberFormat="1" applyFont="1" applyFill="1" applyBorder="1" applyAlignment="1">
      <alignment horizontal="center" vertical="center"/>
    </xf>
    <xf numFmtId="2" fontId="39" fillId="16" borderId="7" xfId="1" applyNumberFormat="1" applyFont="1" applyFill="1" applyBorder="1" applyAlignment="1">
      <alignment horizontal="center" vertical="center"/>
    </xf>
    <xf numFmtId="2" fontId="39" fillId="16" borderId="8" xfId="1" applyNumberFormat="1" applyFont="1" applyFill="1" applyBorder="1" applyAlignment="1">
      <alignment horizontal="center" vertical="center"/>
    </xf>
    <xf numFmtId="0" fontId="39" fillId="16" borderId="9" xfId="1" applyFont="1" applyFill="1" applyBorder="1" applyAlignment="1">
      <alignment vertical="center"/>
    </xf>
    <xf numFmtId="0" fontId="39" fillId="16" borderId="8" xfId="1" applyFont="1" applyFill="1" applyBorder="1" applyAlignment="1">
      <alignment vertical="center"/>
    </xf>
    <xf numFmtId="1" fontId="39" fillId="16" borderId="8" xfId="1" applyNumberFormat="1" applyFont="1" applyFill="1" applyBorder="1" applyAlignment="1">
      <alignment horizontal="center" vertical="center"/>
    </xf>
    <xf numFmtId="0" fontId="39" fillId="16" borderId="0" xfId="1" applyNumberFormat="1" applyFont="1" applyFill="1" applyBorder="1" applyAlignment="1">
      <alignment vertical="center"/>
    </xf>
    <xf numFmtId="0" fontId="39" fillId="16" borderId="0" xfId="1" applyNumberFormat="1" applyFont="1" applyFill="1" applyBorder="1" applyAlignment="1">
      <alignment horizontal="left" vertical="center"/>
    </xf>
    <xf numFmtId="0" fontId="39" fillId="16" borderId="0" xfId="1" applyFont="1" applyFill="1" applyAlignment="1">
      <alignment vertical="center"/>
    </xf>
    <xf numFmtId="49" fontId="39" fillId="16" borderId="0" xfId="1" applyNumberFormat="1" applyFont="1" applyFill="1" applyBorder="1" applyAlignment="1">
      <alignment horizontal="left" vertical="center"/>
    </xf>
    <xf numFmtId="0" fontId="39" fillId="16" borderId="0" xfId="1" applyNumberFormat="1" applyFont="1" applyFill="1" applyAlignment="1">
      <alignment horizontal="center" vertical="center"/>
    </xf>
    <xf numFmtId="0" fontId="39" fillId="16" borderId="0" xfId="1" applyFont="1" applyFill="1" applyBorder="1" applyAlignment="1">
      <alignment horizontal="center" vertical="center"/>
    </xf>
    <xf numFmtId="2" fontId="39" fillId="16" borderId="0" xfId="1" applyNumberFormat="1" applyFont="1" applyFill="1" applyBorder="1" applyAlignment="1">
      <alignment horizontal="center" vertical="center"/>
    </xf>
    <xf numFmtId="1" fontId="39" fillId="16" borderId="0" xfId="1" applyNumberFormat="1" applyFont="1" applyFill="1" applyBorder="1" applyAlignment="1">
      <alignment horizontal="right" vertical="center"/>
    </xf>
    <xf numFmtId="1" fontId="39" fillId="16" borderId="20" xfId="1" applyNumberFormat="1" applyFont="1" applyFill="1" applyBorder="1" applyAlignment="1">
      <alignment horizontal="right" vertical="center"/>
    </xf>
    <xf numFmtId="0" fontId="39" fillId="0" borderId="0" xfId="1" applyFont="1" applyBorder="1" applyAlignment="1">
      <alignment horizontal="left" vertical="center"/>
    </xf>
    <xf numFmtId="0" fontId="39" fillId="2" borderId="0" xfId="1" applyFont="1" applyFill="1" applyBorder="1" applyAlignment="1">
      <alignment horizontal="center" vertical="center" wrapText="1"/>
    </xf>
    <xf numFmtId="0" fontId="39" fillId="0" borderId="0" xfId="1" applyFont="1" applyBorder="1" applyAlignment="1">
      <alignment horizontal="right" vertical="center" textRotation="90"/>
    </xf>
    <xf numFmtId="2" fontId="39" fillId="2" borderId="0" xfId="1" applyNumberFormat="1" applyFont="1" applyFill="1" applyBorder="1" applyAlignment="1">
      <alignment horizontal="right" vertical="center"/>
    </xf>
    <xf numFmtId="2" fontId="39" fillId="2" borderId="0" xfId="1" applyNumberFormat="1" applyFont="1" applyFill="1" applyBorder="1" applyAlignment="1">
      <alignment horizontal="left" vertical="center" wrapText="1"/>
    </xf>
    <xf numFmtId="0" fontId="39" fillId="0" borderId="0" xfId="1" applyNumberFormat="1" applyFont="1" applyBorder="1" applyAlignment="1">
      <alignment vertical="center"/>
    </xf>
    <xf numFmtId="0" fontId="39" fillId="0" borderId="0" xfId="1" applyFont="1" applyBorder="1" applyAlignment="1">
      <alignment vertical="center" wrapText="1"/>
    </xf>
    <xf numFmtId="49" fontId="39" fillId="0" borderId="0" xfId="1" applyNumberFormat="1" applyFont="1" applyBorder="1" applyAlignment="1">
      <alignment vertical="center"/>
    </xf>
    <xf numFmtId="0" fontId="39" fillId="6" borderId="0" xfId="1" applyFont="1" applyFill="1" applyBorder="1" applyAlignment="1">
      <alignment vertical="center"/>
    </xf>
    <xf numFmtId="0" fontId="39" fillId="0" borderId="0" xfId="1" applyNumberFormat="1" applyFont="1" applyBorder="1" applyAlignment="1">
      <alignment horizontal="left" vertical="center"/>
    </xf>
    <xf numFmtId="2" fontId="39" fillId="0" borderId="0" xfId="1" applyNumberFormat="1" applyFont="1" applyBorder="1" applyAlignment="1">
      <alignment horizontal="center" vertical="center"/>
    </xf>
    <xf numFmtId="1" fontId="39" fillId="0" borderId="0" xfId="1" applyNumberFormat="1" applyFont="1" applyBorder="1" applyAlignment="1">
      <alignment horizontal="right" vertical="center"/>
    </xf>
    <xf numFmtId="1" fontId="39" fillId="0" borderId="0" xfId="1" applyNumberFormat="1" applyFont="1" applyBorder="1" applyAlignment="1">
      <alignment horizontal="center" vertical="center" wrapText="1"/>
    </xf>
    <xf numFmtId="2" fontId="39" fillId="0" borderId="0" xfId="1" applyNumberFormat="1" applyFont="1" applyBorder="1" applyAlignment="1">
      <alignment vertical="center"/>
    </xf>
    <xf numFmtId="2" fontId="39" fillId="0" borderId="0" xfId="1" applyNumberFormat="1" applyFont="1" applyBorder="1" applyAlignment="1">
      <alignment horizontal="left" vertical="center"/>
    </xf>
    <xf numFmtId="49" fontId="39" fillId="0" borderId="0" xfId="1" applyNumberFormat="1" applyFont="1" applyBorder="1" applyAlignment="1">
      <alignment horizontal="right" vertical="center"/>
    </xf>
    <xf numFmtId="1" fontId="39" fillId="2" borderId="0" xfId="1" applyNumberFormat="1" applyFont="1" applyFill="1" applyBorder="1" applyAlignment="1">
      <alignment vertical="center"/>
    </xf>
    <xf numFmtId="1" fontId="40" fillId="2" borderId="0" xfId="1" applyNumberFormat="1" applyFont="1" applyFill="1" applyBorder="1" applyAlignment="1">
      <alignment vertical="center"/>
    </xf>
    <xf numFmtId="2" fontId="40" fillId="0" borderId="0" xfId="1" applyNumberFormat="1" applyFont="1" applyBorder="1" applyAlignment="1">
      <alignment horizontal="center" vertical="center"/>
    </xf>
    <xf numFmtId="2" fontId="39" fillId="0" borderId="0" xfId="1" applyNumberFormat="1" applyFont="1" applyBorder="1" applyAlignment="1">
      <alignment horizontal="right" vertical="center"/>
    </xf>
    <xf numFmtId="0" fontId="39" fillId="17" borderId="0" xfId="1" applyNumberFormat="1" applyFont="1" applyFill="1" applyBorder="1" applyAlignment="1">
      <alignment horizontal="center" vertical="center" wrapText="1"/>
    </xf>
    <xf numFmtId="0" fontId="39" fillId="17" borderId="0" xfId="1" applyNumberFormat="1" applyFont="1" applyFill="1" applyBorder="1" applyAlignment="1">
      <alignment horizontal="center" wrapText="1"/>
    </xf>
    <xf numFmtId="0" fontId="39" fillId="17" borderId="0" xfId="1" applyNumberFormat="1" applyFont="1" applyFill="1" applyBorder="1" applyAlignment="1">
      <alignment wrapText="1"/>
    </xf>
    <xf numFmtId="0" fontId="40" fillId="17" borderId="0" xfId="1" applyFont="1" applyFill="1" applyBorder="1" applyAlignment="1">
      <alignment horizontal="center" vertical="center"/>
    </xf>
    <xf numFmtId="0" fontId="41" fillId="17" borderId="0" xfId="1" applyNumberFormat="1" applyFont="1" applyFill="1" applyBorder="1" applyAlignment="1">
      <alignment wrapText="1"/>
    </xf>
    <xf numFmtId="0" fontId="41" fillId="17" borderId="0" xfId="1" applyNumberFormat="1" applyFont="1" applyFill="1" applyBorder="1" applyAlignment="1">
      <alignment horizontal="left" wrapText="1"/>
    </xf>
    <xf numFmtId="0" fontId="41" fillId="17" borderId="0" xfId="1" applyNumberFormat="1" applyFont="1" applyFill="1" applyBorder="1" applyAlignment="1">
      <alignment horizontal="center" wrapText="1"/>
    </xf>
    <xf numFmtId="2" fontId="39" fillId="17" borderId="0" xfId="1" applyNumberFormat="1" applyFont="1" applyFill="1" applyBorder="1" applyAlignment="1">
      <alignment horizontal="center" vertical="center"/>
    </xf>
    <xf numFmtId="0" fontId="40" fillId="17" borderId="0" xfId="1" applyFont="1" applyFill="1" applyBorder="1" applyAlignment="1">
      <alignment horizontal="center" wrapText="1"/>
    </xf>
    <xf numFmtId="0" fontId="40" fillId="17" borderId="0" xfId="1" applyFont="1" applyFill="1" applyBorder="1" applyAlignment="1">
      <alignment horizontal="left" wrapText="1"/>
    </xf>
    <xf numFmtId="0" fontId="40" fillId="17" borderId="0" xfId="1" applyFont="1" applyFill="1" applyBorder="1" applyAlignment="1">
      <alignment horizontal="right" wrapText="1"/>
    </xf>
    <xf numFmtId="0" fontId="40" fillId="17" borderId="0" xfId="1" applyNumberFormat="1" applyFont="1" applyFill="1" applyBorder="1" applyAlignment="1"/>
    <xf numFmtId="0" fontId="39" fillId="17" borderId="0" xfId="1" applyFont="1" applyFill="1" applyBorder="1" applyAlignment="1">
      <alignment horizontal="left" vertical="center"/>
    </xf>
    <xf numFmtId="0" fontId="39" fillId="17" borderId="0" xfId="1" applyNumberFormat="1" applyFont="1" applyFill="1" applyBorder="1" applyAlignment="1">
      <alignment horizontal="left" vertical="center" wrapText="1"/>
    </xf>
    <xf numFmtId="49" fontId="39" fillId="17" borderId="0" xfId="1" applyNumberFormat="1" applyFont="1" applyFill="1" applyBorder="1" applyAlignment="1">
      <alignment horizontal="center" vertical="center"/>
    </xf>
    <xf numFmtId="0" fontId="39" fillId="17" borderId="0" xfId="1" applyFont="1" applyFill="1" applyBorder="1" applyAlignment="1">
      <alignment vertical="center" wrapText="1"/>
    </xf>
    <xf numFmtId="0" fontId="39" fillId="17" borderId="0" xfId="1" applyNumberFormat="1" applyFont="1" applyFill="1" applyBorder="1" applyAlignment="1">
      <alignment vertical="center"/>
    </xf>
    <xf numFmtId="0" fontId="39" fillId="17" borderId="0" xfId="1" applyNumberFormat="1" applyFont="1" applyFill="1" applyBorder="1" applyAlignment="1">
      <alignment horizontal="center" vertical="center"/>
    </xf>
    <xf numFmtId="0" fontId="39" fillId="17" borderId="0" xfId="1" applyNumberFormat="1" applyFont="1" applyFill="1" applyBorder="1" applyAlignment="1">
      <alignment horizontal="left" vertical="center"/>
    </xf>
    <xf numFmtId="0" fontId="39" fillId="17" borderId="0" xfId="1" applyFont="1" applyFill="1" applyBorder="1" applyAlignment="1">
      <alignment vertical="center"/>
    </xf>
    <xf numFmtId="49" fontId="39" fillId="17" borderId="0" xfId="1" applyNumberFormat="1" applyFont="1" applyFill="1" applyBorder="1" applyAlignment="1">
      <alignment horizontal="left" vertical="center"/>
    </xf>
    <xf numFmtId="2" fontId="39" fillId="17" borderId="0" xfId="1" applyNumberFormat="1" applyFont="1" applyFill="1" applyBorder="1" applyAlignment="1">
      <alignment horizontal="left" vertical="center"/>
    </xf>
    <xf numFmtId="0" fontId="40" fillId="17" borderId="0" xfId="1" applyNumberFormat="1" applyFont="1" applyFill="1" applyBorder="1" applyAlignment="1">
      <alignment horizontal="center" vertical="center" wrapText="1"/>
    </xf>
    <xf numFmtId="1" fontId="40" fillId="17" borderId="0" xfId="1" applyNumberFormat="1" applyFont="1" applyFill="1" applyBorder="1" applyAlignment="1">
      <alignment horizontal="center" vertical="center"/>
    </xf>
    <xf numFmtId="1" fontId="39" fillId="17" borderId="0" xfId="1" applyNumberFormat="1" applyFont="1" applyFill="1" applyBorder="1" applyAlignment="1">
      <alignment horizontal="center" vertical="center" wrapText="1"/>
    </xf>
    <xf numFmtId="1" fontId="39" fillId="17" borderId="0" xfId="1" applyNumberFormat="1" applyFont="1" applyFill="1" applyBorder="1" applyAlignment="1">
      <alignment horizontal="center" vertical="center"/>
    </xf>
    <xf numFmtId="1" fontId="40" fillId="17" borderId="0" xfId="1" applyNumberFormat="1" applyFont="1" applyFill="1" applyBorder="1" applyAlignment="1">
      <alignment horizontal="right" vertical="center"/>
    </xf>
    <xf numFmtId="2" fontId="40" fillId="17" borderId="0" xfId="1" applyNumberFormat="1" applyFont="1" applyFill="1" applyBorder="1" applyAlignment="1">
      <alignment horizontal="center" vertical="center"/>
    </xf>
    <xf numFmtId="0" fontId="42" fillId="2" borderId="0" xfId="1" applyNumberFormat="1" applyFont="1" applyFill="1" applyBorder="1" applyAlignment="1">
      <alignment horizontal="center" vertical="center" wrapText="1"/>
    </xf>
    <xf numFmtId="0" fontId="42" fillId="2" borderId="0" xfId="1" applyFont="1" applyFill="1" applyBorder="1" applyAlignment="1">
      <alignment horizontal="center" vertical="center"/>
    </xf>
    <xf numFmtId="0" fontId="42" fillId="2" borderId="0" xfId="1" applyFont="1" applyFill="1" applyBorder="1" applyAlignment="1">
      <alignment horizontal="left" vertical="center" wrapText="1"/>
    </xf>
    <xf numFmtId="0" fontId="43" fillId="2" borderId="0" xfId="1" applyFont="1" applyFill="1" applyBorder="1" applyAlignment="1">
      <alignment horizontal="left" vertical="center"/>
    </xf>
    <xf numFmtId="49" fontId="42" fillId="2" borderId="0" xfId="1" applyNumberFormat="1" applyFont="1" applyFill="1" applyBorder="1" applyAlignment="1">
      <alignment horizontal="center" vertical="center" textRotation="90" wrapText="1"/>
    </xf>
    <xf numFmtId="49" fontId="42" fillId="2" borderId="0" xfId="1" applyNumberFormat="1" applyFont="1" applyFill="1" applyBorder="1" applyAlignment="1">
      <alignment horizontal="center" vertical="center" wrapText="1"/>
    </xf>
    <xf numFmtId="0" fontId="42" fillId="16" borderId="0" xfId="1" applyFont="1" applyFill="1" applyBorder="1" applyAlignment="1">
      <alignment horizontal="left" vertical="center" wrapText="1"/>
    </xf>
    <xf numFmtId="0" fontId="42" fillId="2" borderId="0" xfId="1" applyNumberFormat="1" applyFont="1" applyFill="1" applyBorder="1" applyAlignment="1">
      <alignment horizontal="left" vertical="center" wrapText="1"/>
    </xf>
    <xf numFmtId="2" fontId="42" fillId="2" borderId="0" xfId="1" applyNumberFormat="1" applyFont="1" applyFill="1" applyBorder="1" applyAlignment="1">
      <alignment horizontal="right" vertical="center"/>
    </xf>
    <xf numFmtId="2" fontId="42" fillId="2" borderId="0" xfId="1" applyNumberFormat="1" applyFont="1" applyFill="1" applyBorder="1" applyAlignment="1">
      <alignment horizontal="center" vertical="center" wrapText="1"/>
    </xf>
    <xf numFmtId="2" fontId="42" fillId="2" borderId="0" xfId="1" applyNumberFormat="1" applyFont="1" applyFill="1" applyBorder="1" applyAlignment="1">
      <alignment horizontal="center" vertical="center"/>
    </xf>
    <xf numFmtId="0" fontId="42" fillId="2" borderId="0" xfId="1" applyNumberFormat="1" applyFont="1" applyFill="1" applyBorder="1" applyAlignment="1">
      <alignment vertical="center" wrapText="1"/>
    </xf>
    <xf numFmtId="0" fontId="42" fillId="2" borderId="0" xfId="1" applyNumberFormat="1" applyFont="1" applyFill="1" applyBorder="1" applyAlignment="1">
      <alignment horizontal="right" vertical="center" wrapText="1"/>
    </xf>
    <xf numFmtId="49" fontId="42" fillId="16" borderId="0" xfId="1" applyNumberFormat="1" applyFont="1" applyFill="1" applyBorder="1" applyAlignment="1">
      <alignment horizontal="right" vertical="center"/>
    </xf>
    <xf numFmtId="2" fontId="42" fillId="16" borderId="0" xfId="1" applyNumberFormat="1" applyFont="1" applyFill="1" applyBorder="1" applyAlignment="1">
      <alignment horizontal="left" vertical="center"/>
    </xf>
    <xf numFmtId="49" fontId="42" fillId="16" borderId="0" xfId="1" applyNumberFormat="1" applyFont="1" applyFill="1" applyBorder="1" applyAlignment="1">
      <alignment horizontal="center" vertical="center"/>
    </xf>
    <xf numFmtId="49" fontId="42" fillId="16" borderId="0" xfId="1" applyNumberFormat="1" applyFont="1" applyFill="1" applyBorder="1" applyAlignment="1">
      <alignment horizontal="left" vertical="center"/>
    </xf>
    <xf numFmtId="0" fontId="42" fillId="16" borderId="0" xfId="1" applyNumberFormat="1" applyFont="1" applyFill="1" applyBorder="1" applyAlignment="1">
      <alignment horizontal="left" vertical="center"/>
    </xf>
    <xf numFmtId="0" fontId="42" fillId="16" borderId="0" xfId="1" applyNumberFormat="1" applyFont="1" applyFill="1" applyBorder="1" applyAlignment="1">
      <alignment horizontal="center" vertical="center"/>
    </xf>
    <xf numFmtId="0" fontId="42" fillId="16" borderId="0" xfId="1" applyNumberFormat="1" applyFont="1" applyFill="1" applyBorder="1" applyAlignment="1">
      <alignment horizontal="left" vertical="center" wrapText="1"/>
    </xf>
    <xf numFmtId="0" fontId="42" fillId="2" borderId="0" xfId="1" applyFont="1" applyFill="1" applyBorder="1" applyAlignment="1">
      <alignment vertical="center"/>
    </xf>
    <xf numFmtId="0" fontId="42" fillId="2" borderId="0" xfId="1" applyFont="1" applyFill="1" applyBorder="1" applyAlignment="1">
      <alignment horizontal="left" vertical="center"/>
    </xf>
    <xf numFmtId="49" fontId="42" fillId="0" borderId="0" xfId="1" applyNumberFormat="1" applyFont="1" applyBorder="1" applyAlignment="1">
      <alignment horizontal="left" vertical="center"/>
    </xf>
    <xf numFmtId="49" fontId="42" fillId="0" borderId="0" xfId="1" applyNumberFormat="1" applyFont="1" applyBorder="1" applyAlignment="1">
      <alignment horizontal="right" vertical="center"/>
    </xf>
    <xf numFmtId="2" fontId="42" fillId="0" borderId="0" xfId="1" applyNumberFormat="1" applyFont="1" applyBorder="1" applyAlignment="1">
      <alignment horizontal="left" vertical="center"/>
    </xf>
    <xf numFmtId="49" fontId="42" fillId="2" borderId="0" xfId="1" applyNumberFormat="1" applyFont="1" applyFill="1" applyBorder="1" applyAlignment="1">
      <alignment horizontal="center" vertical="center"/>
    </xf>
    <xf numFmtId="0" fontId="42" fillId="0" borderId="0" xfId="1" applyNumberFormat="1" applyFont="1" applyBorder="1" applyAlignment="1">
      <alignment horizontal="left" vertical="center"/>
    </xf>
    <xf numFmtId="2" fontId="42" fillId="2" borderId="0" xfId="1" applyNumberFormat="1" applyFont="1" applyFill="1" applyBorder="1" applyAlignment="1">
      <alignment horizontal="left" vertical="center" wrapText="1"/>
    </xf>
    <xf numFmtId="2" fontId="42" fillId="2" borderId="0" xfId="1" applyNumberFormat="1" applyFont="1" applyFill="1" applyBorder="1" applyAlignment="1">
      <alignment horizontal="left" vertical="center"/>
    </xf>
    <xf numFmtId="1" fontId="43" fillId="2" borderId="0" xfId="1" applyNumberFormat="1" applyFont="1" applyFill="1" applyBorder="1" applyAlignment="1">
      <alignment horizontal="center" vertical="center"/>
    </xf>
    <xf numFmtId="1" fontId="42" fillId="2" borderId="0" xfId="1" applyNumberFormat="1" applyFont="1" applyFill="1" applyBorder="1" applyAlignment="1">
      <alignment horizontal="center" vertical="center" wrapText="1"/>
    </xf>
    <xf numFmtId="1" fontId="42" fillId="2" borderId="0" xfId="1" applyNumberFormat="1" applyFont="1" applyFill="1" applyBorder="1" applyAlignment="1">
      <alignment horizontal="center" vertical="center"/>
    </xf>
    <xf numFmtId="0" fontId="43" fillId="2" borderId="0" xfId="1" applyFont="1" applyFill="1" applyBorder="1" applyAlignment="1">
      <alignment horizontal="center" vertical="center"/>
    </xf>
    <xf numFmtId="2" fontId="42" fillId="6" borderId="0" xfId="1" applyNumberFormat="1" applyFont="1" applyFill="1" applyBorder="1" applyAlignment="1">
      <alignment horizontal="center" vertical="center"/>
    </xf>
    <xf numFmtId="2" fontId="43" fillId="2" borderId="0" xfId="1" applyNumberFormat="1" applyFont="1" applyFill="1" applyBorder="1" applyAlignment="1">
      <alignment horizontal="center" vertical="center"/>
    </xf>
    <xf numFmtId="1" fontId="43" fillId="2" borderId="0" xfId="1" applyNumberFormat="1" applyFont="1" applyFill="1" applyBorder="1" applyAlignment="1">
      <alignment horizontal="center" vertical="center" wrapText="1"/>
    </xf>
    <xf numFmtId="49" fontId="42" fillId="2" borderId="0" xfId="1" applyNumberFormat="1" applyFont="1" applyFill="1" applyBorder="1" applyAlignment="1">
      <alignment vertical="center"/>
    </xf>
    <xf numFmtId="0" fontId="42" fillId="2" borderId="0" xfId="1" applyNumberFormat="1" applyFont="1" applyFill="1" applyBorder="1" applyAlignment="1">
      <alignment vertical="center"/>
    </xf>
    <xf numFmtId="0" fontId="42" fillId="2" borderId="0" xfId="1" applyNumberFormat="1" applyFont="1" applyFill="1" applyBorder="1" applyAlignment="1">
      <alignment horizontal="center" vertical="center"/>
    </xf>
    <xf numFmtId="0" fontId="42" fillId="2" borderId="0" xfId="1" applyNumberFormat="1" applyFont="1" applyFill="1" applyBorder="1" applyAlignment="1">
      <alignment horizontal="left" vertical="center"/>
    </xf>
    <xf numFmtId="49" fontId="42" fillId="2" borderId="0" xfId="1" applyNumberFormat="1" applyFont="1" applyFill="1" applyBorder="1" applyAlignment="1">
      <alignment horizontal="left" vertical="center"/>
    </xf>
    <xf numFmtId="0" fontId="43" fillId="2" borderId="0" xfId="1" applyNumberFormat="1" applyFont="1" applyFill="1" applyBorder="1" applyAlignment="1">
      <alignment horizontal="center" vertical="center" wrapText="1"/>
    </xf>
    <xf numFmtId="1" fontId="43" fillId="2" borderId="0" xfId="1" applyNumberFormat="1" applyFont="1" applyFill="1" applyBorder="1" applyAlignment="1">
      <alignment horizontal="right" vertical="center"/>
    </xf>
    <xf numFmtId="0" fontId="14" fillId="0" borderId="1" xfId="1" applyNumberFormat="1" applyFont="1" applyFill="1" applyBorder="1" applyAlignment="1">
      <alignment horizontal="center" vertical="center" wrapText="1"/>
    </xf>
    <xf numFmtId="0" fontId="26" fillId="16" borderId="1"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0" fontId="14" fillId="2" borderId="1" xfId="1" applyNumberFormat="1" applyFont="1" applyFill="1" applyBorder="1" applyAlignment="1">
      <alignment horizontal="left" vertical="center" wrapText="1"/>
    </xf>
    <xf numFmtId="49" fontId="14" fillId="2" borderId="1" xfId="1" applyNumberFormat="1" applyFont="1" applyFill="1" applyBorder="1" applyAlignment="1">
      <alignment horizontal="center" vertical="center" wrapText="1"/>
    </xf>
    <xf numFmtId="49" fontId="14" fillId="2" borderId="1" xfId="1" applyNumberFormat="1" applyFont="1" applyFill="1" applyBorder="1" applyAlignment="1">
      <alignment horizontal="left" vertical="center" wrapText="1"/>
    </xf>
    <xf numFmtId="2" fontId="14" fillId="2" borderId="30" xfId="1" applyNumberFormat="1" applyFont="1" applyFill="1" applyBorder="1" applyAlignment="1">
      <alignment horizontal="center" vertical="center"/>
    </xf>
    <xf numFmtId="2" fontId="14" fillId="2" borderId="31" xfId="1" applyNumberFormat="1" applyFont="1" applyFill="1" applyBorder="1" applyAlignment="1">
      <alignment vertical="center"/>
    </xf>
    <xf numFmtId="0" fontId="26" fillId="16" borderId="2" xfId="1" applyFont="1" applyFill="1" applyBorder="1" applyAlignment="1">
      <alignment vertical="center" wrapText="1"/>
    </xf>
    <xf numFmtId="0" fontId="14" fillId="0" borderId="1" xfId="1" applyFont="1" applyBorder="1" applyAlignment="1">
      <alignment vertical="center"/>
    </xf>
    <xf numFmtId="0" fontId="31" fillId="0" borderId="1" xfId="1" applyFont="1" applyFill="1" applyBorder="1" applyAlignment="1">
      <alignment vertical="center"/>
    </xf>
    <xf numFmtId="1" fontId="14" fillId="2" borderId="1" xfId="1" applyNumberFormat="1" applyFont="1" applyFill="1" applyBorder="1" applyAlignment="1">
      <alignment horizontal="center" vertical="center"/>
    </xf>
    <xf numFmtId="0" fontId="14" fillId="2" borderId="33" xfId="1" applyNumberFormat="1" applyFont="1" applyFill="1" applyBorder="1" applyAlignment="1">
      <alignment horizontal="right" vertical="center"/>
    </xf>
    <xf numFmtId="0" fontId="14" fillId="2" borderId="18" xfId="1" applyNumberFormat="1" applyFont="1" applyFill="1" applyBorder="1" applyAlignment="1">
      <alignment horizontal="left" vertical="center"/>
    </xf>
    <xf numFmtId="0" fontId="14" fillId="2" borderId="20" xfId="1" applyNumberFormat="1" applyFont="1" applyFill="1" applyBorder="1" applyAlignment="1">
      <alignment horizontal="left" vertical="center"/>
    </xf>
    <xf numFmtId="2" fontId="14" fillId="0" borderId="1" xfId="1" applyNumberFormat="1" applyFont="1" applyFill="1" applyBorder="1" applyAlignment="1">
      <alignment horizontal="center" vertical="center"/>
    </xf>
    <xf numFmtId="2" fontId="14" fillId="0" borderId="7" xfId="1" applyNumberFormat="1" applyFont="1" applyFill="1" applyBorder="1" applyAlignment="1">
      <alignment horizontal="center" vertical="center"/>
    </xf>
    <xf numFmtId="2" fontId="14" fillId="0" borderId="18" xfId="1" applyNumberFormat="1" applyFont="1" applyFill="1" applyBorder="1" applyAlignment="1">
      <alignment horizontal="center" vertical="center"/>
    </xf>
    <xf numFmtId="2" fontId="14" fillId="0" borderId="21" xfId="1" applyNumberFormat="1" applyFont="1" applyFill="1" applyBorder="1" applyAlignment="1">
      <alignment horizontal="center" vertical="center"/>
    </xf>
    <xf numFmtId="2" fontId="14" fillId="0" borderId="0" xfId="1" applyNumberFormat="1" applyFont="1" applyFill="1" applyBorder="1" applyAlignment="1">
      <alignment horizontal="left" vertical="center"/>
    </xf>
    <xf numFmtId="2" fontId="14" fillId="0" borderId="18" xfId="1" applyNumberFormat="1" applyFont="1" applyFill="1" applyBorder="1" applyAlignment="1">
      <alignment horizontal="left" vertical="center"/>
    </xf>
    <xf numFmtId="1" fontId="14" fillId="0" borderId="20" xfId="1" applyNumberFormat="1" applyFont="1" applyFill="1" applyBorder="1" applyAlignment="1">
      <alignment horizontal="left" vertical="center"/>
    </xf>
    <xf numFmtId="0" fontId="13" fillId="7" borderId="14" xfId="1" applyFont="1" applyFill="1" applyBorder="1" applyAlignment="1">
      <alignment horizontal="center" vertical="center"/>
    </xf>
    <xf numFmtId="0" fontId="14" fillId="2" borderId="13" xfId="1" applyFont="1" applyFill="1" applyBorder="1" applyAlignment="1">
      <alignment horizontal="left" vertical="center"/>
    </xf>
    <xf numFmtId="1" fontId="14" fillId="2" borderId="8" xfId="1" applyNumberFormat="1" applyFont="1" applyFill="1" applyBorder="1" applyAlignment="1">
      <alignment horizontal="right" vertical="center"/>
    </xf>
    <xf numFmtId="2" fontId="14" fillId="2" borderId="8" xfId="1" applyNumberFormat="1" applyFont="1" applyFill="1" applyBorder="1" applyAlignment="1">
      <alignment horizontal="left" vertical="center"/>
    </xf>
    <xf numFmtId="1" fontId="14" fillId="2" borderId="32" xfId="1" applyNumberFormat="1" applyFont="1" applyFill="1" applyBorder="1" applyAlignment="1">
      <alignment horizontal="left" vertical="center"/>
    </xf>
    <xf numFmtId="2" fontId="14" fillId="2" borderId="1" xfId="1" applyNumberFormat="1" applyFont="1" applyFill="1" applyBorder="1" applyAlignment="1">
      <alignment horizontal="left" vertical="center"/>
    </xf>
    <xf numFmtId="2" fontId="14" fillId="2" borderId="7" xfId="1" applyNumberFormat="1" applyFont="1" applyFill="1" applyBorder="1" applyAlignment="1">
      <alignment horizontal="left" vertical="center"/>
    </xf>
    <xf numFmtId="49" fontId="14" fillId="2" borderId="21" xfId="1" applyNumberFormat="1" applyFont="1" applyFill="1" applyBorder="1" applyAlignment="1">
      <alignment horizontal="right" vertical="center"/>
    </xf>
    <xf numFmtId="49" fontId="14" fillId="2" borderId="0" xfId="1" applyNumberFormat="1" applyFont="1" applyFill="1" applyBorder="1" applyAlignment="1">
      <alignment horizontal="left" vertical="center"/>
    </xf>
    <xf numFmtId="49" fontId="14" fillId="2" borderId="18" xfId="1" applyNumberFormat="1" applyFont="1" applyFill="1" applyBorder="1" applyAlignment="1">
      <alignment horizontal="center" vertical="center"/>
    </xf>
    <xf numFmtId="49" fontId="14" fillId="2" borderId="18" xfId="1" applyNumberFormat="1" applyFont="1" applyFill="1" applyBorder="1" applyAlignment="1">
      <alignment horizontal="left" vertical="center"/>
    </xf>
    <xf numFmtId="0" fontId="14" fillId="2" borderId="0" xfId="1" applyNumberFormat="1" applyFont="1" applyFill="1" applyBorder="1" applyAlignment="1">
      <alignment horizontal="left" vertical="center" wrapText="1"/>
    </xf>
    <xf numFmtId="0" fontId="14" fillId="2" borderId="9" xfId="1" applyNumberFormat="1" applyFont="1" applyFill="1" applyBorder="1" applyAlignment="1">
      <alignment horizontal="left" vertical="center" wrapText="1"/>
    </xf>
    <xf numFmtId="49" fontId="17" fillId="2" borderId="9" xfId="1" applyNumberFormat="1" applyFont="1" applyFill="1" applyBorder="1" applyAlignment="1">
      <alignment vertical="center" wrapText="1"/>
    </xf>
    <xf numFmtId="0" fontId="26" fillId="13" borderId="1" xfId="1" applyNumberFormat="1" applyFont="1" applyFill="1" applyBorder="1" applyAlignment="1">
      <alignment horizontal="center" vertical="center"/>
    </xf>
    <xf numFmtId="1" fontId="14" fillId="2" borderId="1" xfId="1" applyNumberFormat="1" applyFont="1" applyFill="1" applyBorder="1" applyAlignment="1">
      <alignment horizontal="center" vertical="center" wrapText="1"/>
    </xf>
    <xf numFmtId="1" fontId="26" fillId="16" borderId="2" xfId="1" applyNumberFormat="1" applyFont="1" applyFill="1" applyBorder="1" applyAlignment="1">
      <alignment horizontal="center" vertical="center"/>
    </xf>
    <xf numFmtId="2" fontId="14" fillId="23" borderId="1" xfId="1" applyNumberFormat="1" applyFont="1" applyFill="1" applyBorder="1" applyAlignment="1">
      <alignment horizontal="center" vertical="center"/>
    </xf>
    <xf numFmtId="0" fontId="14" fillId="2" borderId="1" xfId="1" applyFont="1" applyFill="1" applyBorder="1" applyAlignment="1">
      <alignment horizontal="center" vertical="center"/>
    </xf>
    <xf numFmtId="1" fontId="14" fillId="2" borderId="8" xfId="1" applyNumberFormat="1" applyFont="1" applyFill="1" applyBorder="1" applyAlignment="1">
      <alignment horizontal="right" vertical="center" wrapText="1"/>
    </xf>
    <xf numFmtId="1" fontId="14" fillId="2" borderId="8" xfId="1" applyNumberFormat="1" applyFont="1" applyFill="1" applyBorder="1" applyAlignment="1">
      <alignment horizontal="left" vertical="center" wrapText="1"/>
    </xf>
    <xf numFmtId="0" fontId="14" fillId="0" borderId="21" xfId="1" applyFont="1" applyFill="1" applyBorder="1" applyAlignment="1">
      <alignment vertical="center"/>
    </xf>
    <xf numFmtId="49" fontId="14" fillId="0" borderId="18" xfId="1" applyNumberFormat="1" applyFont="1" applyFill="1" applyBorder="1" applyAlignment="1">
      <alignment horizontal="left" vertical="center"/>
    </xf>
    <xf numFmtId="49" fontId="14" fillId="0" borderId="33" xfId="1" applyNumberFormat="1" applyFont="1" applyFill="1" applyBorder="1" applyAlignment="1">
      <alignment horizontal="right" vertical="center" wrapText="1"/>
    </xf>
    <xf numFmtId="0" fontId="14" fillId="0" borderId="20" xfId="1" applyNumberFormat="1" applyFont="1" applyFill="1" applyBorder="1" applyAlignment="1">
      <alignment horizontal="center" vertical="center" wrapText="1"/>
    </xf>
    <xf numFmtId="0" fontId="9" fillId="2" borderId="13" xfId="1" applyFont="1" applyFill="1" applyBorder="1" applyAlignment="1">
      <alignment horizontal="left" vertical="center"/>
    </xf>
    <xf numFmtId="1" fontId="14" fillId="2" borderId="7" xfId="1" applyNumberFormat="1" applyFont="1" applyFill="1" applyBorder="1" applyAlignment="1">
      <alignment horizontal="right" vertical="center" wrapText="1"/>
    </xf>
    <xf numFmtId="0" fontId="14" fillId="2" borderId="9" xfId="1" applyFont="1" applyFill="1" applyBorder="1" applyAlignment="1">
      <alignment horizontal="left" vertical="center"/>
    </xf>
    <xf numFmtId="49" fontId="14" fillId="2" borderId="21" xfId="1" applyNumberFormat="1" applyFont="1" applyFill="1" applyBorder="1" applyAlignment="1">
      <alignment horizontal="right" vertical="center" wrapText="1"/>
    </xf>
    <xf numFmtId="49" fontId="14" fillId="2" borderId="33" xfId="1" applyNumberFormat="1" applyFont="1" applyFill="1" applyBorder="1" applyAlignment="1">
      <alignment horizontal="right" vertical="center" wrapText="1"/>
    </xf>
    <xf numFmtId="0" fontId="14" fillId="2" borderId="20" xfId="1" applyNumberFormat="1" applyFont="1" applyFill="1" applyBorder="1" applyAlignment="1">
      <alignment horizontal="left" vertical="center" wrapText="1"/>
    </xf>
    <xf numFmtId="49" fontId="17" fillId="2" borderId="9" xfId="1" applyNumberFormat="1" applyFont="1" applyFill="1" applyBorder="1" applyAlignment="1">
      <alignment vertical="center"/>
    </xf>
    <xf numFmtId="0" fontId="22" fillId="4" borderId="1" xfId="1" applyNumberFormat="1" applyFont="1" applyFill="1" applyBorder="1" applyAlignment="1">
      <alignment horizontal="center" vertical="center"/>
    </xf>
    <xf numFmtId="0" fontId="26" fillId="16" borderId="2" xfId="1" applyFont="1" applyFill="1" applyBorder="1" applyAlignment="1">
      <alignment horizontal="center" vertical="center"/>
    </xf>
    <xf numFmtId="0" fontId="14" fillId="33" borderId="1" xfId="1" applyNumberFormat="1" applyFont="1" applyFill="1" applyBorder="1" applyAlignment="1">
      <alignment horizontal="left" vertical="center" wrapText="1"/>
    </xf>
    <xf numFmtId="0" fontId="13" fillId="2" borderId="1" xfId="1" applyNumberFormat="1" applyFont="1" applyFill="1" applyBorder="1" applyAlignment="1">
      <alignment horizontal="center" vertical="center" wrapText="1"/>
    </xf>
    <xf numFmtId="1" fontId="14" fillId="2" borderId="7" xfId="1" applyNumberFormat="1" applyFont="1" applyFill="1" applyBorder="1" applyAlignment="1">
      <alignment horizontal="center" vertical="center"/>
    </xf>
    <xf numFmtId="0" fontId="14" fillId="0" borderId="0" xfId="1" applyFont="1" applyAlignment="1">
      <alignment vertical="center"/>
    </xf>
    <xf numFmtId="0" fontId="14" fillId="2" borderId="1" xfId="1" applyFont="1" applyFill="1" applyBorder="1" applyAlignment="1">
      <alignment vertical="center"/>
    </xf>
    <xf numFmtId="0" fontId="14" fillId="2" borderId="1" xfId="1" applyNumberFormat="1" applyFont="1" applyFill="1" applyBorder="1" applyAlignment="1">
      <alignment horizontal="center" vertical="center"/>
    </xf>
    <xf numFmtId="0" fontId="14" fillId="2" borderId="14" xfId="1" applyNumberFormat="1" applyFont="1" applyFill="1" applyBorder="1" applyAlignment="1">
      <alignment horizontal="center" vertical="center"/>
    </xf>
    <xf numFmtId="0" fontId="14" fillId="2" borderId="15" xfId="1" applyNumberFormat="1" applyFont="1" applyFill="1" applyBorder="1" applyAlignment="1">
      <alignment horizontal="center" vertical="center" wrapText="1"/>
    </xf>
    <xf numFmtId="0" fontId="14" fillId="2" borderId="13" xfId="1" applyNumberFormat="1" applyFont="1" applyFill="1" applyBorder="1" applyAlignment="1">
      <alignment horizontal="center" vertical="center"/>
    </xf>
    <xf numFmtId="1" fontId="13" fillId="2" borderId="7" xfId="1" applyNumberFormat="1" applyFont="1" applyFill="1" applyBorder="1" applyAlignment="1">
      <alignment horizontal="right" vertical="center"/>
    </xf>
    <xf numFmtId="2" fontId="9" fillId="2" borderId="1" xfId="1" applyNumberFormat="1" applyFont="1" applyFill="1" applyBorder="1" applyAlignment="1">
      <alignment horizontal="center" vertical="center"/>
    </xf>
    <xf numFmtId="0" fontId="14" fillId="2" borderId="14" xfId="1" applyFont="1" applyFill="1" applyBorder="1" applyAlignment="1">
      <alignment vertical="center"/>
    </xf>
    <xf numFmtId="0" fontId="14" fillId="2" borderId="13" xfId="1" applyFont="1" applyFill="1" applyBorder="1" applyAlignment="1">
      <alignment vertical="center"/>
    </xf>
    <xf numFmtId="1" fontId="13" fillId="2" borderId="8" xfId="1" applyNumberFormat="1" applyFont="1" applyFill="1" applyBorder="1" applyAlignment="1">
      <alignment horizontal="center" vertical="center"/>
    </xf>
    <xf numFmtId="1" fontId="13" fillId="2" borderId="24" xfId="1" applyNumberFormat="1" applyFont="1" applyFill="1" applyBorder="1" applyAlignment="1">
      <alignment horizontal="center" vertical="center" wrapText="1"/>
    </xf>
    <xf numFmtId="0" fontId="14" fillId="2" borderId="13" xfId="1" applyNumberFormat="1" applyFont="1" applyFill="1" applyBorder="1" applyAlignment="1">
      <alignment horizontal="center" vertical="center" wrapText="1"/>
    </xf>
    <xf numFmtId="0" fontId="14" fillId="2" borderId="8" xfId="1" applyNumberFormat="1" applyFont="1" applyFill="1" applyBorder="1" applyAlignment="1">
      <alignment horizontal="center" vertical="center" wrapText="1"/>
    </xf>
    <xf numFmtId="0" fontId="14" fillId="2" borderId="9" xfId="1" applyNumberFormat="1" applyFont="1" applyFill="1" applyBorder="1" applyAlignment="1">
      <alignment horizontal="center" vertical="center"/>
    </xf>
    <xf numFmtId="0" fontId="14" fillId="2" borderId="1" xfId="1" applyNumberFormat="1" applyFont="1" applyFill="1" applyBorder="1" applyAlignment="1">
      <alignment horizontal="left" vertical="center"/>
    </xf>
    <xf numFmtId="0" fontId="14" fillId="2" borderId="1" xfId="1" applyNumberFormat="1" applyFont="1" applyFill="1" applyBorder="1" applyAlignment="1">
      <alignment vertical="center"/>
    </xf>
    <xf numFmtId="0" fontId="14" fillId="2" borderId="24" xfId="1" applyNumberFormat="1" applyFont="1" applyFill="1" applyBorder="1" applyAlignment="1">
      <alignment horizontal="left" vertical="center" wrapText="1"/>
    </xf>
    <xf numFmtId="0" fontId="14" fillId="16" borderId="25" xfId="1" applyNumberFormat="1" applyFont="1" applyFill="1" applyBorder="1" applyAlignment="1">
      <alignment vertical="center" wrapText="1"/>
    </xf>
    <xf numFmtId="49" fontId="14" fillId="2" borderId="0" xfId="1" applyNumberFormat="1" applyFont="1" applyFill="1" applyBorder="1" applyAlignment="1">
      <alignment horizontal="center" vertical="center"/>
    </xf>
    <xf numFmtId="0" fontId="14" fillId="2" borderId="20" xfId="1" applyNumberFormat="1" applyFont="1" applyFill="1" applyBorder="1" applyAlignment="1">
      <alignment horizontal="right" vertical="center" wrapText="1"/>
    </xf>
    <xf numFmtId="0" fontId="14" fillId="2" borderId="32" xfId="1" applyNumberFormat="1" applyFont="1" applyFill="1" applyBorder="1" applyAlignment="1">
      <alignment horizontal="center" vertical="center" wrapText="1"/>
    </xf>
    <xf numFmtId="49" fontId="13" fillId="7" borderId="0" xfId="1" applyNumberFormat="1" applyFont="1" applyFill="1" applyBorder="1" applyAlignment="1">
      <alignment horizontal="center" vertical="center"/>
    </xf>
    <xf numFmtId="1" fontId="13" fillId="2" borderId="1" xfId="1" applyNumberFormat="1" applyFont="1" applyFill="1" applyBorder="1" applyAlignment="1">
      <alignment horizontal="center" vertical="center"/>
    </xf>
    <xf numFmtId="0" fontId="14" fillId="2" borderId="8" xfId="1" applyFont="1" applyFill="1" applyBorder="1" applyAlignment="1">
      <alignment vertical="center"/>
    </xf>
    <xf numFmtId="0" fontId="14" fillId="23" borderId="8" xfId="1" applyFont="1" applyFill="1" applyBorder="1" applyAlignment="1">
      <alignment vertical="center"/>
    </xf>
    <xf numFmtId="0" fontId="14" fillId="14" borderId="8" xfId="1" applyFont="1" applyFill="1" applyBorder="1" applyAlignment="1">
      <alignment vertical="center"/>
    </xf>
    <xf numFmtId="2" fontId="14" fillId="16" borderId="1" xfId="1" applyNumberFormat="1" applyFont="1" applyFill="1" applyBorder="1" applyAlignment="1">
      <alignment horizontal="left" vertical="center"/>
    </xf>
    <xf numFmtId="49" fontId="14" fillId="16" borderId="1" xfId="1" applyNumberFormat="1" applyFont="1" applyFill="1" applyBorder="1" applyAlignment="1">
      <alignment vertical="center"/>
    </xf>
    <xf numFmtId="0" fontId="23" fillId="16" borderId="1" xfId="1" applyNumberFormat="1" applyFont="1" applyFill="1" applyBorder="1" applyAlignment="1">
      <alignment horizontal="left" vertical="center" wrapText="1"/>
    </xf>
    <xf numFmtId="0" fontId="14" fillId="32" borderId="1" xfId="1" applyNumberFormat="1" applyFont="1" applyFill="1" applyBorder="1" applyAlignment="1">
      <alignment horizontal="left" vertical="center" wrapText="1"/>
    </xf>
    <xf numFmtId="49" fontId="17" fillId="2" borderId="1" xfId="1" applyNumberFormat="1" applyFont="1" applyFill="1" applyBorder="1" applyAlignment="1">
      <alignment vertical="center" wrapText="1"/>
    </xf>
    <xf numFmtId="49" fontId="14" fillId="0" borderId="33" xfId="1" applyNumberFormat="1" applyFont="1" applyFill="1" applyBorder="1" applyAlignment="1">
      <alignment horizontal="center" vertical="center" wrapText="1"/>
    </xf>
    <xf numFmtId="49" fontId="14" fillId="2" borderId="33" xfId="1" applyNumberFormat="1" applyFont="1" applyFill="1" applyBorder="1" applyAlignment="1">
      <alignment horizontal="center" vertical="center" wrapText="1"/>
    </xf>
    <xf numFmtId="0" fontId="14" fillId="0" borderId="0" xfId="1" applyFont="1" applyBorder="1" applyAlignment="1">
      <alignment vertical="center"/>
    </xf>
    <xf numFmtId="0" fontId="14" fillId="4" borderId="1" xfId="1" applyFont="1" applyFill="1" applyBorder="1" applyAlignment="1">
      <alignment vertical="center"/>
    </xf>
    <xf numFmtId="2" fontId="14" fillId="2" borderId="18" xfId="1" applyNumberFormat="1" applyFont="1" applyFill="1" applyBorder="1" applyAlignment="1">
      <alignment horizontal="left" vertical="center"/>
    </xf>
    <xf numFmtId="1" fontId="14" fillId="2" borderId="1" xfId="1" applyNumberFormat="1" applyFont="1" applyFill="1" applyBorder="1" applyAlignment="1">
      <alignment horizontal="right" vertical="center"/>
    </xf>
    <xf numFmtId="0" fontId="14" fillId="2" borderId="1" xfId="1" applyFont="1" applyFill="1" applyBorder="1" applyAlignment="1">
      <alignment horizontal="center" vertical="center" wrapText="1"/>
    </xf>
    <xf numFmtId="0" fontId="14" fillId="2" borderId="8" xfId="1" applyNumberFormat="1" applyFont="1" applyFill="1" applyBorder="1" applyAlignment="1">
      <alignment horizontal="center" vertical="center"/>
    </xf>
    <xf numFmtId="0" fontId="14" fillId="0" borderId="20" xfId="1" applyNumberFormat="1" applyFont="1" applyFill="1" applyBorder="1" applyAlignment="1">
      <alignment horizontal="left" vertical="center" wrapText="1"/>
    </xf>
    <xf numFmtId="0" fontId="14" fillId="2" borderId="12" xfId="1" applyNumberFormat="1" applyFont="1" applyFill="1" applyBorder="1" applyAlignment="1">
      <alignment horizontal="left" vertical="center" wrapText="1"/>
    </xf>
    <xf numFmtId="0" fontId="14" fillId="0" borderId="1" xfId="1" applyFont="1" applyBorder="1"/>
    <xf numFmtId="0" fontId="14" fillId="2" borderId="0" xfId="1" applyFont="1" applyFill="1" applyBorder="1" applyAlignment="1">
      <alignment vertical="center"/>
    </xf>
    <xf numFmtId="0" fontId="14" fillId="16" borderId="2" xfId="1" applyFont="1" applyFill="1" applyBorder="1" applyAlignment="1">
      <alignment vertical="center" wrapText="1"/>
    </xf>
    <xf numFmtId="0" fontId="15" fillId="0" borderId="0" xfId="1" applyFont="1" applyBorder="1"/>
    <xf numFmtId="2" fontId="14" fillId="2" borderId="1" xfId="1" applyNumberFormat="1" applyFont="1" applyFill="1" applyBorder="1" applyAlignment="1">
      <alignment horizontal="center" vertical="center"/>
    </xf>
    <xf numFmtId="1" fontId="14" fillId="2" borderId="7" xfId="1" applyNumberFormat="1" applyFont="1" applyFill="1" applyBorder="1" applyAlignment="1">
      <alignment horizontal="right" vertical="center"/>
    </xf>
    <xf numFmtId="0" fontId="14" fillId="39" borderId="32" xfId="1" applyFont="1" applyFill="1" applyBorder="1" applyAlignment="1">
      <alignment vertical="center"/>
    </xf>
    <xf numFmtId="0" fontId="14" fillId="16" borderId="24" xfId="1" applyNumberFormat="1" applyFont="1" applyFill="1" applyBorder="1" applyAlignment="1">
      <alignment horizontal="left" vertical="center" wrapText="1"/>
    </xf>
    <xf numFmtId="2" fontId="14" fillId="2" borderId="7" xfId="1" applyNumberFormat="1" applyFont="1" applyFill="1" applyBorder="1" applyAlignment="1">
      <alignment horizontal="center" vertical="center"/>
    </xf>
    <xf numFmtId="0" fontId="14" fillId="0" borderId="9" xfId="1" applyNumberFormat="1" applyFont="1" applyFill="1" applyBorder="1" applyAlignment="1">
      <alignment horizontal="left" vertical="center" wrapText="1"/>
    </xf>
    <xf numFmtId="0" fontId="14" fillId="0" borderId="1" xfId="1" applyFont="1" applyFill="1" applyBorder="1" applyAlignment="1">
      <alignment vertical="center"/>
    </xf>
    <xf numFmtId="0" fontId="13" fillId="2" borderId="14" xfId="1" applyFont="1" applyFill="1" applyBorder="1" applyAlignment="1">
      <alignment horizontal="center" vertical="center"/>
    </xf>
    <xf numFmtId="49" fontId="14" fillId="2" borderId="1" xfId="1" applyNumberFormat="1" applyFont="1" applyFill="1" applyBorder="1" applyAlignment="1">
      <alignment vertical="center" wrapText="1"/>
    </xf>
    <xf numFmtId="0" fontId="14" fillId="0" borderId="1" xfId="1" applyNumberFormat="1" applyFont="1" applyFill="1" applyBorder="1" applyAlignment="1">
      <alignment horizontal="center" vertical="center"/>
    </xf>
    <xf numFmtId="0" fontId="13" fillId="2" borderId="13" xfId="1" applyFont="1" applyFill="1" applyBorder="1" applyAlignment="1">
      <alignment horizontal="left" vertical="center"/>
    </xf>
    <xf numFmtId="49" fontId="14" fillId="2" borderId="9" xfId="1" applyNumberFormat="1" applyFont="1" applyFill="1" applyBorder="1" applyAlignment="1">
      <alignment vertical="center"/>
    </xf>
    <xf numFmtId="0" fontId="14" fillId="4" borderId="1" xfId="1" applyNumberFormat="1" applyFont="1" applyFill="1" applyBorder="1" applyAlignment="1">
      <alignment horizontal="center" vertical="center"/>
    </xf>
    <xf numFmtId="2" fontId="13" fillId="2" borderId="1" xfId="1" applyNumberFormat="1" applyFont="1" applyFill="1" applyBorder="1" applyAlignment="1">
      <alignment horizontal="center" vertical="center"/>
    </xf>
    <xf numFmtId="0" fontId="14" fillId="0" borderId="9" xfId="1" applyFont="1" applyBorder="1"/>
    <xf numFmtId="0" fontId="14" fillId="39" borderId="7" xfId="1" applyFont="1" applyFill="1" applyBorder="1" applyAlignment="1">
      <alignment vertical="center"/>
    </xf>
    <xf numFmtId="0" fontId="14" fillId="39" borderId="18" xfId="1" applyFont="1" applyFill="1" applyBorder="1" applyAlignment="1">
      <alignment vertical="center"/>
    </xf>
    <xf numFmtId="0" fontId="15" fillId="0" borderId="1" xfId="1" applyNumberFormat="1" applyFont="1" applyFill="1" applyBorder="1" applyAlignment="1">
      <alignment horizontal="center" vertical="center" wrapText="1"/>
    </xf>
    <xf numFmtId="49" fontId="15" fillId="2" borderId="1" xfId="1" applyNumberFormat="1" applyFont="1" applyFill="1" applyBorder="1" applyAlignment="1">
      <alignment horizontal="left" vertical="center" wrapText="1"/>
    </xf>
    <xf numFmtId="1" fontId="15" fillId="16" borderId="1" xfId="1" applyNumberFormat="1" applyFont="1" applyFill="1" applyBorder="1" applyAlignment="1">
      <alignment horizontal="center" vertical="center"/>
    </xf>
    <xf numFmtId="0" fontId="62" fillId="16" borderId="1" xfId="1" applyNumberFormat="1" applyFont="1" applyFill="1" applyBorder="1" applyAlignment="1">
      <alignment horizontal="left" vertical="center" wrapText="1"/>
    </xf>
    <xf numFmtId="0" fontId="15" fillId="2" borderId="12" xfId="1" applyNumberFormat="1" applyFont="1" applyFill="1" applyBorder="1" applyAlignment="1">
      <alignment horizontal="left" vertical="center" wrapText="1"/>
    </xf>
    <xf numFmtId="0" fontId="15" fillId="16" borderId="25" xfId="1" applyNumberFormat="1" applyFont="1" applyFill="1" applyBorder="1" applyAlignment="1">
      <alignment vertical="center" wrapText="1"/>
    </xf>
    <xf numFmtId="0" fontId="15" fillId="16" borderId="1" xfId="1" applyFont="1" applyFill="1" applyBorder="1" applyAlignment="1">
      <alignment vertical="center"/>
    </xf>
    <xf numFmtId="0" fontId="36" fillId="16" borderId="2" xfId="1" applyFont="1" applyFill="1" applyBorder="1" applyAlignment="1">
      <alignment vertical="center" wrapText="1"/>
    </xf>
    <xf numFmtId="0" fontId="15" fillId="0" borderId="1" xfId="1" applyFont="1" applyBorder="1" applyAlignment="1">
      <alignment vertical="center"/>
    </xf>
    <xf numFmtId="0" fontId="15" fillId="2" borderId="33" xfId="1" applyNumberFormat="1" applyFont="1" applyFill="1" applyBorder="1" applyAlignment="1">
      <alignment horizontal="right" vertical="center"/>
    </xf>
    <xf numFmtId="49" fontId="63" fillId="2" borderId="1" xfId="1" applyNumberFormat="1" applyFont="1" applyFill="1" applyBorder="1" applyAlignment="1">
      <alignment vertical="center" wrapText="1"/>
    </xf>
    <xf numFmtId="1" fontId="36" fillId="16" borderId="2" xfId="1" applyNumberFormat="1" applyFont="1" applyFill="1" applyBorder="1" applyAlignment="1">
      <alignment horizontal="center" vertical="center"/>
    </xf>
    <xf numFmtId="2" fontId="15" fillId="23" borderId="1" xfId="1" applyNumberFormat="1" applyFont="1" applyFill="1" applyBorder="1" applyAlignment="1">
      <alignment horizontal="center" vertical="center"/>
    </xf>
    <xf numFmtId="1" fontId="15" fillId="2" borderId="8" xfId="1" applyNumberFormat="1" applyFont="1" applyFill="1" applyBorder="1" applyAlignment="1">
      <alignment horizontal="left" vertical="center" wrapText="1"/>
    </xf>
    <xf numFmtId="0" fontId="15" fillId="0" borderId="21" xfId="1" applyFont="1" applyFill="1" applyBorder="1" applyAlignment="1">
      <alignment vertical="center"/>
    </xf>
    <xf numFmtId="49" fontId="15" fillId="0" borderId="33" xfId="1" applyNumberFormat="1" applyFont="1" applyFill="1" applyBorder="1" applyAlignment="1">
      <alignment horizontal="right" vertical="center" wrapText="1"/>
    </xf>
    <xf numFmtId="0" fontId="15" fillId="0" borderId="20" xfId="1" applyNumberFormat="1" applyFont="1" applyFill="1" applyBorder="1" applyAlignment="1">
      <alignment horizontal="center" vertical="center" wrapText="1"/>
    </xf>
    <xf numFmtId="49" fontId="15" fillId="2" borderId="33" xfId="1" applyNumberFormat="1" applyFont="1" applyFill="1" applyBorder="1" applyAlignment="1">
      <alignment horizontal="right" vertical="center" wrapText="1"/>
    </xf>
    <xf numFmtId="0" fontId="15" fillId="2" borderId="1" xfId="1" applyFont="1" applyFill="1" applyBorder="1" applyAlignment="1">
      <alignment vertical="center"/>
    </xf>
    <xf numFmtId="0" fontId="15" fillId="16" borderId="8" xfId="1" applyFont="1" applyFill="1" applyBorder="1" applyAlignment="1">
      <alignment vertical="center"/>
    </xf>
    <xf numFmtId="0" fontId="15" fillId="16" borderId="1" xfId="1" applyNumberFormat="1" applyFont="1" applyFill="1" applyBorder="1" applyAlignment="1">
      <alignment horizontal="center" vertical="center" wrapText="1"/>
    </xf>
    <xf numFmtId="0" fontId="15" fillId="16" borderId="1" xfId="1" applyNumberFormat="1" applyFont="1" applyFill="1" applyBorder="1" applyAlignment="1">
      <alignment horizontal="left" vertical="center" wrapText="1"/>
    </xf>
    <xf numFmtId="49" fontId="15" fillId="16" borderId="1" xfId="1" applyNumberFormat="1" applyFont="1" applyFill="1" applyBorder="1" applyAlignment="1">
      <alignment horizontal="center" vertical="center" wrapText="1"/>
    </xf>
    <xf numFmtId="49" fontId="15" fillId="16" borderId="1" xfId="1" applyNumberFormat="1" applyFont="1" applyFill="1" applyBorder="1" applyAlignment="1">
      <alignment horizontal="left" vertical="center" wrapText="1"/>
    </xf>
    <xf numFmtId="0" fontId="15" fillId="16" borderId="12" xfId="1" applyNumberFormat="1" applyFont="1" applyFill="1" applyBorder="1" applyAlignment="1">
      <alignment horizontal="left" vertical="center" wrapText="1"/>
    </xf>
    <xf numFmtId="2" fontId="15" fillId="16" borderId="30" xfId="1" applyNumberFormat="1" applyFont="1" applyFill="1" applyBorder="1" applyAlignment="1">
      <alignment horizontal="center" vertical="center"/>
    </xf>
    <xf numFmtId="2" fontId="15" fillId="16" borderId="31" xfId="1" applyNumberFormat="1" applyFont="1" applyFill="1" applyBorder="1" applyAlignment="1">
      <alignment vertical="center"/>
    </xf>
    <xf numFmtId="0" fontId="15" fillId="16" borderId="33" xfId="1" applyNumberFormat="1" applyFont="1" applyFill="1" applyBorder="1" applyAlignment="1">
      <alignment horizontal="right" vertical="center"/>
    </xf>
    <xf numFmtId="0" fontId="15" fillId="16" borderId="18" xfId="1" applyNumberFormat="1" applyFont="1" applyFill="1" applyBorder="1" applyAlignment="1">
      <alignment horizontal="left" vertical="center"/>
    </xf>
    <xf numFmtId="0" fontId="15" fillId="16" borderId="20" xfId="1" applyNumberFormat="1" applyFont="1" applyFill="1" applyBorder="1" applyAlignment="1">
      <alignment horizontal="left" vertical="center"/>
    </xf>
    <xf numFmtId="2" fontId="15" fillId="16" borderId="1" xfId="1" applyNumberFormat="1" applyFont="1" applyFill="1" applyBorder="1" applyAlignment="1">
      <alignment horizontal="center" vertical="center"/>
    </xf>
    <xf numFmtId="2" fontId="15" fillId="16" borderId="7" xfId="1" applyNumberFormat="1" applyFont="1" applyFill="1" applyBorder="1" applyAlignment="1">
      <alignment horizontal="center" vertical="center"/>
    </xf>
    <xf numFmtId="0" fontId="15" fillId="16" borderId="13" xfId="1" applyFont="1" applyFill="1" applyBorder="1" applyAlignment="1">
      <alignment horizontal="left" vertical="center"/>
    </xf>
    <xf numFmtId="1" fontId="15" fillId="16" borderId="7" xfId="1" applyNumberFormat="1" applyFont="1" applyFill="1" applyBorder="1" applyAlignment="1">
      <alignment horizontal="right" vertical="center"/>
    </xf>
    <xf numFmtId="2" fontId="15" fillId="16" borderId="18" xfId="1" applyNumberFormat="1" applyFont="1" applyFill="1" applyBorder="1" applyAlignment="1">
      <alignment horizontal="left" vertical="center"/>
    </xf>
    <xf numFmtId="1" fontId="15" fillId="16" borderId="32" xfId="1" applyNumberFormat="1" applyFont="1" applyFill="1" applyBorder="1" applyAlignment="1">
      <alignment horizontal="left" vertical="center"/>
    </xf>
    <xf numFmtId="2" fontId="15" fillId="16" borderId="7" xfId="1" applyNumberFormat="1" applyFont="1" applyFill="1" applyBorder="1" applyAlignment="1">
      <alignment horizontal="left" vertical="center"/>
    </xf>
    <xf numFmtId="49" fontId="15" fillId="16" borderId="21" xfId="1" applyNumberFormat="1" applyFont="1" applyFill="1" applyBorder="1" applyAlignment="1">
      <alignment horizontal="right" vertical="center"/>
    </xf>
    <xf numFmtId="49" fontId="15" fillId="16" borderId="18" xfId="1" applyNumberFormat="1" applyFont="1" applyFill="1" applyBorder="1" applyAlignment="1">
      <alignment horizontal="left" vertical="center"/>
    </xf>
    <xf numFmtId="49" fontId="15" fillId="16" borderId="18" xfId="1" applyNumberFormat="1" applyFont="1" applyFill="1" applyBorder="1" applyAlignment="1">
      <alignment horizontal="center" vertical="center"/>
    </xf>
    <xf numFmtId="49" fontId="63" fillId="16" borderId="9" xfId="1" applyNumberFormat="1" applyFont="1" applyFill="1" applyBorder="1" applyAlignment="1">
      <alignment vertical="center" wrapText="1"/>
    </xf>
    <xf numFmtId="1" fontId="15" fillId="16" borderId="1" xfId="1" applyNumberFormat="1" applyFont="1" applyFill="1" applyBorder="1" applyAlignment="1">
      <alignment horizontal="center" vertical="center" wrapText="1"/>
    </xf>
    <xf numFmtId="0" fontId="15" fillId="16" borderId="1" xfId="1" applyFont="1" applyFill="1" applyBorder="1" applyAlignment="1">
      <alignment horizontal="center" vertical="center"/>
    </xf>
    <xf numFmtId="1" fontId="15" fillId="16" borderId="8" xfId="1" applyNumberFormat="1" applyFont="1" applyFill="1" applyBorder="1" applyAlignment="1">
      <alignment horizontal="right" vertical="center" wrapText="1"/>
    </xf>
    <xf numFmtId="1" fontId="15" fillId="16" borderId="8" xfId="1" applyNumberFormat="1" applyFont="1" applyFill="1" applyBorder="1" applyAlignment="1">
      <alignment horizontal="left" vertical="center" wrapText="1"/>
    </xf>
    <xf numFmtId="0" fontId="20" fillId="16" borderId="13" xfId="1" applyFont="1" applyFill="1" applyBorder="1" applyAlignment="1">
      <alignment horizontal="left" vertical="center"/>
    </xf>
    <xf numFmtId="1" fontId="15" fillId="16" borderId="7" xfId="1" applyNumberFormat="1" applyFont="1" applyFill="1" applyBorder="1" applyAlignment="1">
      <alignment horizontal="right" vertical="center" wrapText="1"/>
    </xf>
    <xf numFmtId="0" fontId="15" fillId="16" borderId="9" xfId="1" applyFont="1" applyFill="1" applyBorder="1" applyAlignment="1">
      <alignment horizontal="left" vertical="center"/>
    </xf>
    <xf numFmtId="49" fontId="15" fillId="16" borderId="33" xfId="1" applyNumberFormat="1" applyFont="1" applyFill="1" applyBorder="1" applyAlignment="1">
      <alignment horizontal="right" vertical="center" wrapText="1"/>
    </xf>
    <xf numFmtId="0" fontId="15" fillId="16" borderId="20" xfId="1" applyNumberFormat="1" applyFont="1" applyFill="1" applyBorder="1" applyAlignment="1">
      <alignment horizontal="left" vertical="center" wrapText="1"/>
    </xf>
    <xf numFmtId="49" fontId="63" fillId="16" borderId="9" xfId="1" applyNumberFormat="1" applyFont="1" applyFill="1" applyBorder="1" applyAlignment="1">
      <alignment vertical="center"/>
    </xf>
    <xf numFmtId="0" fontId="64" fillId="16" borderId="1" xfId="1" applyNumberFormat="1" applyFont="1" applyFill="1" applyBorder="1" applyAlignment="1">
      <alignment horizontal="center" vertical="center"/>
    </xf>
    <xf numFmtId="0" fontId="8" fillId="16" borderId="1" xfId="1" applyNumberFormat="1" applyFont="1" applyFill="1" applyBorder="1" applyAlignment="1">
      <alignment horizontal="center" vertical="center" wrapText="1"/>
    </xf>
    <xf numFmtId="1" fontId="15" fillId="16" borderId="7" xfId="1" applyNumberFormat="1" applyFont="1" applyFill="1" applyBorder="1" applyAlignment="1">
      <alignment horizontal="center" vertical="center"/>
    </xf>
    <xf numFmtId="0" fontId="15" fillId="16" borderId="0" xfId="1" applyFont="1" applyFill="1" applyBorder="1" applyAlignment="1">
      <alignment vertical="center"/>
    </xf>
    <xf numFmtId="0" fontId="15" fillId="16" borderId="1" xfId="1" applyNumberFormat="1" applyFont="1" applyFill="1" applyBorder="1" applyAlignment="1">
      <alignment horizontal="center" vertical="center"/>
    </xf>
    <xf numFmtId="0" fontId="15" fillId="16" borderId="15" xfId="1" applyNumberFormat="1" applyFont="1" applyFill="1" applyBorder="1" applyAlignment="1">
      <alignment horizontal="center" vertical="center" wrapText="1"/>
    </xf>
    <xf numFmtId="0" fontId="15" fillId="16" borderId="13" xfId="1" applyNumberFormat="1" applyFont="1" applyFill="1" applyBorder="1" applyAlignment="1">
      <alignment horizontal="center" vertical="center"/>
    </xf>
    <xf numFmtId="1" fontId="8" fillId="16" borderId="7" xfId="1" applyNumberFormat="1" applyFont="1" applyFill="1" applyBorder="1" applyAlignment="1">
      <alignment horizontal="right" vertical="center"/>
    </xf>
    <xf numFmtId="2" fontId="20" fillId="16" borderId="1" xfId="1" applyNumberFormat="1" applyFont="1" applyFill="1" applyBorder="1" applyAlignment="1">
      <alignment horizontal="center" vertical="center"/>
    </xf>
    <xf numFmtId="0" fontId="15" fillId="16" borderId="13" xfId="1" applyFont="1" applyFill="1" applyBorder="1" applyAlignment="1">
      <alignment vertical="center"/>
    </xf>
    <xf numFmtId="1" fontId="8" fillId="16" borderId="8" xfId="1" applyNumberFormat="1" applyFont="1" applyFill="1" applyBorder="1" applyAlignment="1">
      <alignment horizontal="center" vertical="center"/>
    </xf>
    <xf numFmtId="1" fontId="8" fillId="16" borderId="24" xfId="1" applyNumberFormat="1" applyFont="1" applyFill="1" applyBorder="1" applyAlignment="1">
      <alignment horizontal="center" vertical="center" wrapText="1"/>
    </xf>
    <xf numFmtId="0" fontId="15" fillId="16" borderId="13" xfId="1" applyNumberFormat="1" applyFont="1" applyFill="1" applyBorder="1" applyAlignment="1">
      <alignment horizontal="center" vertical="center" wrapText="1"/>
    </xf>
    <xf numFmtId="0" fontId="15" fillId="16" borderId="1" xfId="1" applyFont="1" applyFill="1" applyBorder="1" applyAlignment="1">
      <alignment horizontal="center" vertical="center" wrapText="1"/>
    </xf>
    <xf numFmtId="0" fontId="15" fillId="16" borderId="8" xfId="1" applyNumberFormat="1" applyFont="1" applyFill="1" applyBorder="1" applyAlignment="1">
      <alignment horizontal="center" vertical="center" wrapText="1"/>
    </xf>
    <xf numFmtId="0" fontId="15" fillId="16" borderId="9" xfId="1" applyNumberFormat="1" applyFont="1" applyFill="1" applyBorder="1" applyAlignment="1">
      <alignment horizontal="center" vertical="center"/>
    </xf>
    <xf numFmtId="0" fontId="15" fillId="16" borderId="1" xfId="1" applyNumberFormat="1" applyFont="1" applyFill="1" applyBorder="1" applyAlignment="1">
      <alignment horizontal="left" vertical="center"/>
    </xf>
    <xf numFmtId="0" fontId="15" fillId="16" borderId="1" xfId="1" applyNumberFormat="1" applyFont="1" applyFill="1" applyBorder="1" applyAlignment="1">
      <alignment vertical="center"/>
    </xf>
    <xf numFmtId="0" fontId="15" fillId="16" borderId="9" xfId="1" applyNumberFormat="1" applyFont="1" applyFill="1" applyBorder="1" applyAlignment="1">
      <alignment horizontal="left" vertical="center" wrapText="1"/>
    </xf>
    <xf numFmtId="0" fontId="15" fillId="16" borderId="24" xfId="1" applyNumberFormat="1" applyFont="1" applyFill="1" applyBorder="1" applyAlignment="1">
      <alignment horizontal="left" vertical="center" wrapText="1"/>
    </xf>
    <xf numFmtId="0" fontId="15" fillId="16" borderId="20" xfId="1" applyNumberFormat="1" applyFont="1" applyFill="1" applyBorder="1" applyAlignment="1">
      <alignment horizontal="right" vertical="center" wrapText="1"/>
    </xf>
    <xf numFmtId="0" fontId="15" fillId="16" borderId="32" xfId="1" applyNumberFormat="1" applyFont="1" applyFill="1" applyBorder="1" applyAlignment="1">
      <alignment horizontal="center" vertical="center" wrapText="1"/>
    </xf>
    <xf numFmtId="1" fontId="8" fillId="16" borderId="1" xfId="1" applyNumberFormat="1" applyFont="1" applyFill="1" applyBorder="1" applyAlignment="1">
      <alignment horizontal="center" vertical="center"/>
    </xf>
    <xf numFmtId="0" fontId="15" fillId="14" borderId="8" xfId="1" applyFont="1" applyFill="1" applyBorder="1" applyAlignment="1">
      <alignment vertical="center"/>
    </xf>
    <xf numFmtId="0" fontId="15" fillId="23" borderId="8" xfId="1" applyFont="1" applyFill="1" applyBorder="1" applyAlignment="1">
      <alignment vertical="center"/>
    </xf>
    <xf numFmtId="1" fontId="15" fillId="0" borderId="21" xfId="1" applyNumberFormat="1" applyFont="1" applyFill="1" applyBorder="1" applyAlignment="1">
      <alignment horizontal="center" vertical="center"/>
    </xf>
    <xf numFmtId="1" fontId="15" fillId="0" borderId="18" xfId="1" applyNumberFormat="1" applyFont="1" applyFill="1" applyBorder="1" applyAlignment="1">
      <alignment horizontal="left" vertical="center"/>
    </xf>
    <xf numFmtId="1" fontId="15" fillId="0" borderId="18" xfId="1" applyNumberFormat="1" applyFont="1" applyFill="1" applyBorder="1" applyAlignment="1">
      <alignment horizontal="center" vertical="center"/>
    </xf>
    <xf numFmtId="0" fontId="37" fillId="2" borderId="20" xfId="1" applyNumberFormat="1" applyFont="1" applyFill="1" applyBorder="1" applyAlignment="1">
      <alignment horizontal="left" vertical="center" wrapText="1"/>
    </xf>
    <xf numFmtId="0" fontId="15" fillId="2" borderId="1" xfId="1" applyFont="1" applyFill="1" applyBorder="1" applyAlignment="1">
      <alignment horizontal="center" vertical="center" wrapText="1"/>
    </xf>
    <xf numFmtId="0" fontId="15" fillId="23" borderId="1" xfId="1" applyNumberFormat="1" applyFont="1" applyFill="1" applyBorder="1" applyAlignment="1">
      <alignment horizontal="center" vertical="center" wrapText="1"/>
    </xf>
    <xf numFmtId="0" fontId="15" fillId="23" borderId="1" xfId="1" applyFont="1" applyFill="1" applyBorder="1" applyAlignment="1">
      <alignment horizontal="left" vertical="center" wrapText="1"/>
    </xf>
    <xf numFmtId="49" fontId="15" fillId="23" borderId="1" xfId="1" applyNumberFormat="1" applyFont="1" applyFill="1" applyBorder="1" applyAlignment="1">
      <alignment horizontal="center" vertical="center" wrapText="1"/>
    </xf>
    <xf numFmtId="49" fontId="15" fillId="23" borderId="1" xfId="1" applyNumberFormat="1" applyFont="1" applyFill="1" applyBorder="1" applyAlignment="1">
      <alignment horizontal="left" vertical="center" wrapText="1"/>
    </xf>
    <xf numFmtId="0" fontId="15" fillId="23" borderId="1" xfId="1" applyNumberFormat="1" applyFont="1" applyFill="1" applyBorder="1" applyAlignment="1">
      <alignment horizontal="left" vertical="center" wrapText="1"/>
    </xf>
    <xf numFmtId="2" fontId="15" fillId="23" borderId="1" xfId="1" applyNumberFormat="1" applyFont="1" applyFill="1" applyBorder="1" applyAlignment="1">
      <alignment horizontal="left" vertical="center"/>
    </xf>
    <xf numFmtId="1" fontId="15" fillId="23" borderId="1" xfId="1" applyNumberFormat="1" applyFont="1" applyFill="1" applyBorder="1" applyAlignment="1">
      <alignment horizontal="center" vertical="center"/>
    </xf>
    <xf numFmtId="49" fontId="15" fillId="23" borderId="1" xfId="1" applyNumberFormat="1" applyFont="1" applyFill="1" applyBorder="1" applyAlignment="1">
      <alignment vertical="center"/>
    </xf>
    <xf numFmtId="0" fontId="62" fillId="23" borderId="1" xfId="1" applyNumberFormat="1" applyFont="1" applyFill="1" applyBorder="1" applyAlignment="1">
      <alignment horizontal="left" vertical="center" wrapText="1"/>
    </xf>
    <xf numFmtId="0" fontId="36" fillId="23" borderId="1" xfId="1" applyNumberFormat="1" applyFont="1" applyFill="1" applyBorder="1" applyAlignment="1">
      <alignment horizontal="center" vertical="center" wrapText="1"/>
    </xf>
    <xf numFmtId="0" fontId="15" fillId="23" borderId="12" xfId="1" applyNumberFormat="1" applyFont="1" applyFill="1" applyBorder="1" applyAlignment="1">
      <alignment horizontal="left" vertical="center"/>
    </xf>
    <xf numFmtId="0" fontId="15" fillId="23" borderId="25" xfId="1" applyNumberFormat="1" applyFont="1" applyFill="1" applyBorder="1" applyAlignment="1">
      <alignment vertical="center" wrapText="1"/>
    </xf>
    <xf numFmtId="2" fontId="15" fillId="23" borderId="30" xfId="1" applyNumberFormat="1" applyFont="1" applyFill="1" applyBorder="1" applyAlignment="1">
      <alignment horizontal="center" vertical="center"/>
    </xf>
    <xf numFmtId="2" fontId="15" fillId="23" borderId="31" xfId="1" applyNumberFormat="1" applyFont="1" applyFill="1" applyBorder="1" applyAlignment="1">
      <alignment vertical="center"/>
    </xf>
    <xf numFmtId="0" fontId="15" fillId="23" borderId="1" xfId="1" applyFont="1" applyFill="1" applyBorder="1" applyAlignment="1">
      <alignment vertical="center"/>
    </xf>
    <xf numFmtId="0" fontId="36" fillId="23" borderId="2" xfId="1" applyFont="1" applyFill="1" applyBorder="1" applyAlignment="1">
      <alignment vertical="center" wrapText="1"/>
    </xf>
    <xf numFmtId="0" fontId="30" fillId="23" borderId="1" xfId="1" applyNumberFormat="1" applyFont="1" applyFill="1" applyBorder="1" applyAlignment="1">
      <alignment horizontal="left" vertical="center" wrapText="1"/>
    </xf>
    <xf numFmtId="0" fontId="30" fillId="23" borderId="1" xfId="1" applyFont="1" applyFill="1" applyBorder="1" applyAlignment="1">
      <alignment vertical="center"/>
    </xf>
    <xf numFmtId="0" fontId="15" fillId="23" borderId="33" xfId="1" applyNumberFormat="1" applyFont="1" applyFill="1" applyBorder="1" applyAlignment="1">
      <alignment horizontal="right" vertical="center"/>
    </xf>
    <xf numFmtId="0" fontId="15" fillId="23" borderId="18" xfId="1" applyNumberFormat="1" applyFont="1" applyFill="1" applyBorder="1" applyAlignment="1">
      <alignment horizontal="left" vertical="center"/>
    </xf>
    <xf numFmtId="0" fontId="15" fillId="23" borderId="20" xfId="1" applyNumberFormat="1" applyFont="1" applyFill="1" applyBorder="1" applyAlignment="1">
      <alignment horizontal="left" vertical="center"/>
    </xf>
    <xf numFmtId="2" fontId="15" fillId="23" borderId="7" xfId="1" applyNumberFormat="1" applyFont="1" applyFill="1" applyBorder="1" applyAlignment="1">
      <alignment horizontal="center" vertical="center"/>
    </xf>
    <xf numFmtId="2" fontId="15" fillId="23" borderId="21" xfId="1" applyNumberFormat="1" applyFont="1" applyFill="1" applyBorder="1" applyAlignment="1">
      <alignment horizontal="center" vertical="center"/>
    </xf>
    <xf numFmtId="2" fontId="15" fillId="23" borderId="18" xfId="1" applyNumberFormat="1" applyFont="1" applyFill="1" applyBorder="1" applyAlignment="1">
      <alignment horizontal="center" vertical="center"/>
    </xf>
    <xf numFmtId="0" fontId="8" fillId="23" borderId="14" xfId="1" applyFont="1" applyFill="1" applyBorder="1" applyAlignment="1">
      <alignment horizontal="center" vertical="center"/>
    </xf>
    <xf numFmtId="0" fontId="15" fillId="23" borderId="13" xfId="1" applyFont="1" applyFill="1" applyBorder="1" applyAlignment="1">
      <alignment horizontal="left" vertical="center"/>
    </xf>
    <xf numFmtId="1" fontId="15" fillId="23" borderId="7" xfId="1" applyNumberFormat="1" applyFont="1" applyFill="1" applyBorder="1" applyAlignment="1">
      <alignment horizontal="right" vertical="center"/>
    </xf>
    <xf numFmtId="2" fontId="15" fillId="23" borderId="18" xfId="1" applyNumberFormat="1" applyFont="1" applyFill="1" applyBorder="1" applyAlignment="1">
      <alignment horizontal="left" vertical="center"/>
    </xf>
    <xf numFmtId="1" fontId="15" fillId="23" borderId="32" xfId="1" applyNumberFormat="1" applyFont="1" applyFill="1" applyBorder="1" applyAlignment="1">
      <alignment horizontal="left" vertical="center"/>
    </xf>
    <xf numFmtId="2" fontId="15" fillId="23" borderId="7" xfId="1" applyNumberFormat="1" applyFont="1" applyFill="1" applyBorder="1" applyAlignment="1">
      <alignment horizontal="left" vertical="center"/>
    </xf>
    <xf numFmtId="49" fontId="15" fillId="23" borderId="21" xfId="1" applyNumberFormat="1" applyFont="1" applyFill="1" applyBorder="1" applyAlignment="1">
      <alignment horizontal="right" vertical="center"/>
    </xf>
    <xf numFmtId="49" fontId="15" fillId="23" borderId="18" xfId="1" applyNumberFormat="1" applyFont="1" applyFill="1" applyBorder="1" applyAlignment="1">
      <alignment horizontal="left" vertical="center"/>
    </xf>
    <xf numFmtId="49" fontId="15" fillId="23" borderId="18" xfId="1" applyNumberFormat="1" applyFont="1" applyFill="1" applyBorder="1" applyAlignment="1">
      <alignment horizontal="center" vertical="center"/>
    </xf>
    <xf numFmtId="49" fontId="63" fillId="23" borderId="1" xfId="1" applyNumberFormat="1" applyFont="1" applyFill="1" applyBorder="1" applyAlignment="1">
      <alignment vertical="center" wrapText="1"/>
    </xf>
    <xf numFmtId="1" fontId="15" fillId="23" borderId="1" xfId="1" applyNumberFormat="1" applyFont="1" applyFill="1" applyBorder="1" applyAlignment="1">
      <alignment horizontal="center" vertical="center" wrapText="1"/>
    </xf>
    <xf numFmtId="1" fontId="36" fillId="23" borderId="2" xfId="1" applyNumberFormat="1" applyFont="1" applyFill="1" applyBorder="1" applyAlignment="1">
      <alignment horizontal="center" vertical="center"/>
    </xf>
    <xf numFmtId="0" fontId="15" fillId="23" borderId="1" xfId="1" applyFont="1" applyFill="1" applyBorder="1" applyAlignment="1">
      <alignment horizontal="center" vertical="center"/>
    </xf>
    <xf numFmtId="1" fontId="15" fillId="23" borderId="8" xfId="1" applyNumberFormat="1" applyFont="1" applyFill="1" applyBorder="1" applyAlignment="1">
      <alignment horizontal="right" vertical="center" wrapText="1"/>
    </xf>
    <xf numFmtId="1" fontId="15" fillId="23" borderId="8" xfId="1" applyNumberFormat="1" applyFont="1" applyFill="1" applyBorder="1" applyAlignment="1">
      <alignment horizontal="left" vertical="center" wrapText="1"/>
    </xf>
    <xf numFmtId="49" fontId="15" fillId="23" borderId="21" xfId="1" applyNumberFormat="1" applyFont="1" applyFill="1" applyBorder="1" applyAlignment="1">
      <alignment horizontal="right" vertical="center" wrapText="1"/>
    </xf>
    <xf numFmtId="49" fontId="15" fillId="23" borderId="33" xfId="1" applyNumberFormat="1" applyFont="1" applyFill="1" applyBorder="1" applyAlignment="1">
      <alignment horizontal="center" vertical="center" wrapText="1"/>
    </xf>
    <xf numFmtId="0" fontId="15" fillId="23" borderId="20" xfId="1" applyNumberFormat="1" applyFont="1" applyFill="1" applyBorder="1" applyAlignment="1">
      <alignment horizontal="left" vertical="center" wrapText="1"/>
    </xf>
    <xf numFmtId="0" fontId="20" fillId="23" borderId="13" xfId="1" applyFont="1" applyFill="1" applyBorder="1" applyAlignment="1">
      <alignment horizontal="left" vertical="center"/>
    </xf>
    <xf numFmtId="1" fontId="15" fillId="23" borderId="7" xfId="1" applyNumberFormat="1" applyFont="1" applyFill="1" applyBorder="1" applyAlignment="1">
      <alignment horizontal="right" vertical="center" wrapText="1"/>
    </xf>
    <xf numFmtId="1" fontId="15" fillId="23" borderId="9" xfId="1" applyNumberFormat="1" applyFont="1" applyFill="1" applyBorder="1" applyAlignment="1">
      <alignment horizontal="left" vertical="center" wrapText="1"/>
    </xf>
    <xf numFmtId="49" fontId="63" fillId="23" borderId="9" xfId="1" applyNumberFormat="1" applyFont="1" applyFill="1" applyBorder="1" applyAlignment="1">
      <alignment vertical="center"/>
    </xf>
    <xf numFmtId="0" fontId="64" fillId="23" borderId="1" xfId="1" applyNumberFormat="1" applyFont="1" applyFill="1" applyBorder="1" applyAlignment="1">
      <alignment horizontal="center" vertical="center"/>
    </xf>
    <xf numFmtId="0" fontId="36" fillId="23" borderId="2" xfId="1" applyFont="1" applyFill="1" applyBorder="1" applyAlignment="1">
      <alignment horizontal="center" vertical="center"/>
    </xf>
    <xf numFmtId="0" fontId="8" fillId="23" borderId="1" xfId="1" applyNumberFormat="1" applyFont="1" applyFill="1" applyBorder="1" applyAlignment="1">
      <alignment horizontal="center" vertical="center" wrapText="1"/>
    </xf>
    <xf numFmtId="1" fontId="15" fillId="23" borderId="7" xfId="1" applyNumberFormat="1" applyFont="1" applyFill="1" applyBorder="1" applyAlignment="1">
      <alignment horizontal="center" vertical="center"/>
    </xf>
    <xf numFmtId="0" fontId="15" fillId="23" borderId="0" xfId="1" applyFont="1" applyFill="1" applyBorder="1" applyAlignment="1">
      <alignment vertical="center"/>
    </xf>
    <xf numFmtId="0" fontId="66" fillId="23" borderId="1" xfId="1" applyFont="1" applyFill="1" applyBorder="1" applyAlignment="1">
      <alignment vertical="center"/>
    </xf>
    <xf numFmtId="0" fontId="15" fillId="23" borderId="1" xfId="1" applyNumberFormat="1" applyFont="1" applyFill="1" applyBorder="1" applyAlignment="1">
      <alignment horizontal="center" vertical="center"/>
    </xf>
    <xf numFmtId="0" fontId="15" fillId="23" borderId="14" xfId="1" applyNumberFormat="1" applyFont="1" applyFill="1" applyBorder="1" applyAlignment="1">
      <alignment horizontal="center" vertical="center"/>
    </xf>
    <xf numFmtId="0" fontId="15" fillId="23" borderId="15" xfId="1" applyNumberFormat="1" applyFont="1" applyFill="1" applyBorder="1" applyAlignment="1">
      <alignment horizontal="center" vertical="center" wrapText="1"/>
    </xf>
    <xf numFmtId="0" fontId="15" fillId="23" borderId="13" xfId="1" applyNumberFormat="1" applyFont="1" applyFill="1" applyBorder="1" applyAlignment="1">
      <alignment horizontal="center" vertical="center"/>
    </xf>
    <xf numFmtId="0" fontId="15" fillId="23" borderId="13" xfId="1" applyNumberFormat="1" applyFont="1" applyFill="1" applyBorder="1" applyAlignment="1">
      <alignment horizontal="center" vertical="center" wrapText="1"/>
    </xf>
    <xf numFmtId="1" fontId="8" fillId="23" borderId="7" xfId="1" applyNumberFormat="1" applyFont="1" applyFill="1" applyBorder="1" applyAlignment="1">
      <alignment horizontal="right" vertical="center"/>
    </xf>
    <xf numFmtId="2" fontId="20" fillId="23" borderId="1" xfId="1" applyNumberFormat="1" applyFont="1" applyFill="1" applyBorder="1" applyAlignment="1">
      <alignment horizontal="center" vertical="center"/>
    </xf>
    <xf numFmtId="0" fontId="15" fillId="23" borderId="14" xfId="1" applyFont="1" applyFill="1" applyBorder="1" applyAlignment="1">
      <alignment vertical="center"/>
    </xf>
    <xf numFmtId="0" fontId="15" fillId="23" borderId="13" xfId="1" applyFont="1" applyFill="1" applyBorder="1" applyAlignment="1">
      <alignment vertical="center"/>
    </xf>
    <xf numFmtId="1" fontId="8" fillId="23" borderId="8" xfId="1" applyNumberFormat="1" applyFont="1" applyFill="1" applyBorder="1" applyAlignment="1">
      <alignment horizontal="center" vertical="center"/>
    </xf>
    <xf numFmtId="1" fontId="8" fillId="23" borderId="24" xfId="1" applyNumberFormat="1" applyFont="1" applyFill="1" applyBorder="1" applyAlignment="1">
      <alignment horizontal="center" vertical="center" wrapText="1"/>
    </xf>
    <xf numFmtId="0" fontId="15" fillId="23" borderId="8" xfId="1" applyNumberFormat="1" applyFont="1" applyFill="1" applyBorder="1" applyAlignment="1">
      <alignment horizontal="center" vertical="center" wrapText="1"/>
    </xf>
    <xf numFmtId="0" fontId="15" fillId="23" borderId="9" xfId="1" applyNumberFormat="1" applyFont="1" applyFill="1" applyBorder="1" applyAlignment="1">
      <alignment horizontal="center" vertical="center"/>
    </xf>
    <xf numFmtId="0" fontId="15" fillId="23" borderId="1" xfId="1" applyNumberFormat="1" applyFont="1" applyFill="1" applyBorder="1" applyAlignment="1">
      <alignment horizontal="left" vertical="center"/>
    </xf>
    <xf numFmtId="0" fontId="15" fillId="23" borderId="1" xfId="1" applyNumberFormat="1" applyFont="1" applyFill="1" applyBorder="1" applyAlignment="1">
      <alignment vertical="center"/>
    </xf>
    <xf numFmtId="0" fontId="15" fillId="23" borderId="9" xfId="1" applyNumberFormat="1" applyFont="1" applyFill="1" applyBorder="1" applyAlignment="1">
      <alignment horizontal="left" vertical="center" wrapText="1"/>
    </xf>
    <xf numFmtId="0" fontId="15" fillId="23" borderId="24" xfId="1" applyNumberFormat="1" applyFont="1" applyFill="1" applyBorder="1" applyAlignment="1">
      <alignment horizontal="left" vertical="center"/>
    </xf>
    <xf numFmtId="0" fontId="15" fillId="23" borderId="20" xfId="1" applyNumberFormat="1" applyFont="1" applyFill="1" applyBorder="1" applyAlignment="1">
      <alignment horizontal="right" vertical="center" wrapText="1"/>
    </xf>
    <xf numFmtId="0" fontId="15" fillId="23" borderId="32" xfId="1" applyNumberFormat="1" applyFont="1" applyFill="1" applyBorder="1" applyAlignment="1">
      <alignment horizontal="center" vertical="center" wrapText="1"/>
    </xf>
    <xf numFmtId="1" fontId="8" fillId="23" borderId="1" xfId="1" applyNumberFormat="1" applyFont="1" applyFill="1" applyBorder="1" applyAlignment="1">
      <alignment horizontal="center" vertical="center"/>
    </xf>
    <xf numFmtId="2" fontId="14" fillId="0" borderId="7" xfId="1" quotePrefix="1" applyNumberFormat="1" applyFont="1" applyFill="1" applyBorder="1" applyAlignment="1">
      <alignment horizontal="center" vertical="center"/>
    </xf>
    <xf numFmtId="1" fontId="14" fillId="0" borderId="7" xfId="1" applyNumberFormat="1" applyFont="1" applyFill="1" applyBorder="1" applyAlignment="1">
      <alignment horizontal="left" vertical="center"/>
    </xf>
    <xf numFmtId="0" fontId="14" fillId="16" borderId="12" xfId="1" applyNumberFormat="1" applyFont="1" applyFill="1" applyBorder="1" applyAlignment="1">
      <alignment horizontal="left" vertical="center" wrapText="1"/>
    </xf>
    <xf numFmtId="0" fontId="14" fillId="39" borderId="25" xfId="1" applyNumberFormat="1" applyFont="1" applyFill="1" applyBorder="1" applyAlignment="1">
      <alignment vertical="center" wrapText="1"/>
    </xf>
    <xf numFmtId="0" fontId="36" fillId="0" borderId="1" xfId="1" applyNumberFormat="1" applyFont="1" applyFill="1" applyBorder="1" applyAlignment="1">
      <alignment horizontal="center" vertical="center" wrapText="1"/>
    </xf>
    <xf numFmtId="0" fontId="15" fillId="2" borderId="0" xfId="1" applyNumberFormat="1" applyFont="1" applyFill="1" applyBorder="1" applyAlignment="1">
      <alignment horizontal="right" vertical="center"/>
    </xf>
    <xf numFmtId="49" fontId="63" fillId="23" borderId="9" xfId="1" applyNumberFormat="1" applyFont="1" applyFill="1" applyBorder="1" applyAlignment="1">
      <alignment vertical="center" wrapText="1"/>
    </xf>
    <xf numFmtId="0" fontId="15" fillId="2" borderId="8" xfId="1" applyNumberFormat="1" applyFont="1" applyFill="1" applyBorder="1" applyAlignment="1">
      <alignment horizontal="center" vertical="center"/>
    </xf>
    <xf numFmtId="0" fontId="15" fillId="18" borderId="8" xfId="1" applyFont="1" applyFill="1" applyBorder="1" applyAlignment="1">
      <alignment vertical="center"/>
    </xf>
    <xf numFmtId="0" fontId="36" fillId="16" borderId="1" xfId="1" applyNumberFormat="1" applyFont="1" applyFill="1" applyBorder="1" applyAlignment="1">
      <alignment horizontal="center" vertical="center"/>
    </xf>
    <xf numFmtId="0" fontId="15" fillId="16" borderId="24" xfId="1" applyFont="1" applyFill="1" applyBorder="1"/>
    <xf numFmtId="0" fontId="15" fillId="16" borderId="9" xfId="1" applyNumberFormat="1" applyFont="1" applyFill="1" applyBorder="1" applyAlignment="1">
      <alignment horizontal="center" vertical="center" wrapText="1"/>
    </xf>
    <xf numFmtId="0" fontId="15" fillId="16" borderId="7" xfId="1" applyFont="1" applyFill="1" applyBorder="1"/>
    <xf numFmtId="49" fontId="15" fillId="16" borderId="0" xfId="1" applyNumberFormat="1" applyFont="1" applyFill="1" applyBorder="1" applyAlignment="1">
      <alignment horizontal="center" vertical="center"/>
    </xf>
    <xf numFmtId="0" fontId="70" fillId="2" borderId="8" xfId="1" applyFont="1" applyFill="1" applyBorder="1" applyAlignment="1">
      <alignment vertical="center"/>
    </xf>
    <xf numFmtId="0" fontId="15" fillId="0" borderId="24" xfId="1" applyFont="1" applyBorder="1"/>
    <xf numFmtId="0" fontId="15" fillId="2" borderId="9" xfId="1" applyNumberFormat="1" applyFont="1" applyFill="1" applyBorder="1" applyAlignment="1">
      <alignment horizontal="center" vertical="center" wrapText="1"/>
    </xf>
    <xf numFmtId="0" fontId="15" fillId="0" borderId="21" xfId="1" applyFont="1" applyBorder="1"/>
    <xf numFmtId="49" fontId="15" fillId="2" borderId="0" xfId="1" applyNumberFormat="1" applyFont="1" applyFill="1" applyBorder="1" applyAlignment="1">
      <alignment horizontal="center" vertical="center"/>
    </xf>
    <xf numFmtId="49" fontId="15" fillId="2" borderId="7" xfId="1" applyNumberFormat="1" applyFont="1" applyFill="1" applyBorder="1" applyAlignment="1">
      <alignment horizontal="right" vertical="center"/>
    </xf>
    <xf numFmtId="49" fontId="66" fillId="2" borderId="18" xfId="1" applyNumberFormat="1" applyFont="1" applyFill="1" applyBorder="1" applyAlignment="1">
      <alignment horizontal="left" vertical="center"/>
    </xf>
    <xf numFmtId="49" fontId="66" fillId="2" borderId="1" xfId="1" applyNumberFormat="1" applyFont="1" applyFill="1" applyBorder="1" applyAlignment="1">
      <alignment vertical="center" wrapText="1"/>
    </xf>
    <xf numFmtId="0" fontId="66" fillId="2" borderId="1" xfId="1" applyNumberFormat="1" applyFont="1" applyFill="1" applyBorder="1" applyAlignment="1">
      <alignment horizontal="center" vertical="center" wrapText="1"/>
    </xf>
    <xf numFmtId="0" fontId="66" fillId="2" borderId="14" xfId="1" applyNumberFormat="1" applyFont="1" applyFill="1" applyBorder="1" applyAlignment="1">
      <alignment horizontal="center" vertical="center"/>
    </xf>
    <xf numFmtId="0" fontId="66" fillId="2" borderId="13" xfId="1" applyNumberFormat="1" applyFont="1" applyFill="1" applyBorder="1" applyAlignment="1">
      <alignment horizontal="center" vertical="center" wrapText="1"/>
    </xf>
    <xf numFmtId="0" fontId="66" fillId="2" borderId="1" xfId="1" applyFont="1" applyFill="1" applyBorder="1" applyAlignment="1">
      <alignment horizontal="center" vertical="center" wrapText="1"/>
    </xf>
    <xf numFmtId="0" fontId="66" fillId="2" borderId="8" xfId="1" applyNumberFormat="1" applyFont="1" applyFill="1" applyBorder="1" applyAlignment="1">
      <alignment horizontal="center" vertical="center"/>
    </xf>
    <xf numFmtId="0" fontId="66" fillId="2" borderId="13" xfId="1" applyNumberFormat="1" applyFont="1" applyFill="1" applyBorder="1" applyAlignment="1">
      <alignment horizontal="center" vertical="center"/>
    </xf>
    <xf numFmtId="0" fontId="66" fillId="2" borderId="9" xfId="1" applyNumberFormat="1" applyFont="1" applyFill="1" applyBorder="1" applyAlignment="1">
      <alignment horizontal="center" vertical="center" wrapText="1"/>
    </xf>
    <xf numFmtId="0" fontId="66" fillId="2" borderId="1" xfId="1" applyNumberFormat="1" applyFont="1" applyFill="1" applyBorder="1" applyAlignment="1">
      <alignment horizontal="left" vertical="center" wrapText="1"/>
    </xf>
    <xf numFmtId="0" fontId="15" fillId="0" borderId="18" xfId="1" applyFont="1" applyBorder="1"/>
    <xf numFmtId="0" fontId="15" fillId="12" borderId="8" xfId="1" applyFont="1" applyFill="1" applyBorder="1" applyAlignment="1">
      <alignment vertical="center"/>
    </xf>
    <xf numFmtId="2" fontId="15" fillId="16" borderId="18" xfId="1" applyNumberFormat="1" applyFont="1" applyFill="1" applyBorder="1" applyAlignment="1">
      <alignment horizontal="center" vertical="center"/>
    </xf>
    <xf numFmtId="2" fontId="15" fillId="0" borderId="0" xfId="1" applyNumberFormat="1" applyFont="1" applyFill="1" applyBorder="1" applyAlignment="1">
      <alignment horizontal="left" vertical="center"/>
    </xf>
    <xf numFmtId="1" fontId="15" fillId="16" borderId="8" xfId="1" applyNumberFormat="1" applyFont="1" applyFill="1" applyBorder="1" applyAlignment="1">
      <alignment horizontal="right" vertical="center"/>
    </xf>
    <xf numFmtId="49" fontId="15" fillId="16" borderId="0" xfId="1" applyNumberFormat="1" applyFont="1" applyFill="1" applyBorder="1" applyAlignment="1">
      <alignment horizontal="left" vertical="center"/>
    </xf>
    <xf numFmtId="0" fontId="15" fillId="2" borderId="0" xfId="1" applyNumberFormat="1" applyFont="1" applyFill="1" applyBorder="1" applyAlignment="1">
      <alignment horizontal="left" vertical="center" wrapText="1"/>
    </xf>
    <xf numFmtId="1" fontId="15" fillId="17" borderId="8" xfId="1" applyNumberFormat="1" applyFont="1" applyFill="1" applyBorder="1" applyAlignment="1">
      <alignment horizontal="right" vertical="center" wrapText="1"/>
    </xf>
    <xf numFmtId="1" fontId="15" fillId="17" borderId="8" xfId="1" applyNumberFormat="1" applyFont="1" applyFill="1" applyBorder="1" applyAlignment="1">
      <alignment horizontal="left" vertical="center" wrapText="1"/>
    </xf>
    <xf numFmtId="1" fontId="15" fillId="17" borderId="7" xfId="1" applyNumberFormat="1" applyFont="1" applyFill="1" applyBorder="1" applyAlignment="1">
      <alignment horizontal="right" vertical="center" wrapText="1"/>
    </xf>
    <xf numFmtId="0" fontId="15" fillId="17" borderId="9" xfId="1" applyFont="1" applyFill="1" applyBorder="1" applyAlignment="1">
      <alignment horizontal="left" vertical="center"/>
    </xf>
    <xf numFmtId="49" fontId="15" fillId="17" borderId="18" xfId="1" applyNumberFormat="1" applyFont="1" applyFill="1" applyBorder="1" applyAlignment="1">
      <alignment horizontal="left" vertical="center"/>
    </xf>
    <xf numFmtId="0" fontId="15" fillId="21" borderId="8" xfId="1" applyFont="1" applyFill="1" applyBorder="1" applyAlignment="1">
      <alignment vertical="center"/>
    </xf>
    <xf numFmtId="1" fontId="15" fillId="2" borderId="8" xfId="1" applyNumberFormat="1" applyFont="1" applyFill="1" applyBorder="1" applyAlignment="1">
      <alignment horizontal="right" vertical="center"/>
    </xf>
    <xf numFmtId="2" fontId="15" fillId="2" borderId="8" xfId="1" applyNumberFormat="1" applyFont="1" applyFill="1" applyBorder="1" applyAlignment="1">
      <alignment horizontal="left" vertical="center"/>
    </xf>
    <xf numFmtId="0" fontId="15" fillId="0" borderId="18" xfId="1" applyFont="1" applyBorder="1" applyAlignment="1">
      <alignment horizontal="left"/>
    </xf>
    <xf numFmtId="0" fontId="15" fillId="0" borderId="1" xfId="1" applyFont="1" applyBorder="1"/>
    <xf numFmtId="0" fontId="37" fillId="2" borderId="1" xfId="1" applyNumberFormat="1" applyFont="1" applyFill="1" applyBorder="1" applyAlignment="1">
      <alignment horizontal="left" vertical="center" wrapText="1"/>
    </xf>
    <xf numFmtId="0" fontId="15" fillId="16" borderId="1" xfId="1" applyNumberFormat="1" applyFont="1" applyFill="1" applyBorder="1" applyAlignment="1">
      <alignment vertical="center" wrapText="1"/>
    </xf>
    <xf numFmtId="49" fontId="15" fillId="2" borderId="0" xfId="1" applyNumberFormat="1" applyFont="1" applyFill="1" applyBorder="1" applyAlignment="1">
      <alignment horizontal="left" vertical="center"/>
    </xf>
    <xf numFmtId="2" fontId="70" fillId="23" borderId="1" xfId="1" applyNumberFormat="1" applyFont="1" applyFill="1" applyBorder="1" applyAlignment="1">
      <alignment horizontal="center" vertical="center"/>
    </xf>
    <xf numFmtId="49" fontId="15" fillId="2" borderId="0" xfId="1" applyNumberFormat="1" applyFont="1" applyFill="1" applyBorder="1" applyAlignment="1">
      <alignment horizontal="right" vertical="center"/>
    </xf>
    <xf numFmtId="0" fontId="15" fillId="39" borderId="1" xfId="1" applyNumberFormat="1" applyFont="1" applyFill="1" applyBorder="1" applyAlignment="1">
      <alignment vertical="center" wrapText="1"/>
    </xf>
    <xf numFmtId="0" fontId="15" fillId="16" borderId="7" xfId="1" applyNumberFormat="1" applyFont="1" applyFill="1" applyBorder="1" applyAlignment="1">
      <alignment horizontal="right" vertical="center"/>
    </xf>
    <xf numFmtId="2" fontId="15" fillId="16" borderId="21" xfId="1" applyNumberFormat="1" applyFont="1" applyFill="1" applyBorder="1" applyAlignment="1">
      <alignment horizontal="center" vertical="center"/>
    </xf>
    <xf numFmtId="2" fontId="15" fillId="16" borderId="20" xfId="1" applyNumberFormat="1" applyFont="1" applyFill="1" applyBorder="1" applyAlignment="1">
      <alignment horizontal="center" vertical="center"/>
    </xf>
    <xf numFmtId="1" fontId="15" fillId="16" borderId="8" xfId="1" applyNumberFormat="1" applyFont="1" applyFill="1" applyBorder="1" applyAlignment="1">
      <alignment horizontal="center" vertical="center"/>
    </xf>
    <xf numFmtId="0" fontId="15" fillId="16" borderId="8" xfId="1" applyNumberFormat="1" applyFont="1" applyFill="1" applyBorder="1" applyAlignment="1">
      <alignment horizontal="center" vertical="center"/>
    </xf>
    <xf numFmtId="0" fontId="15" fillId="17" borderId="8" xfId="1" applyFont="1" applyFill="1" applyBorder="1" applyAlignment="1">
      <alignment vertical="center"/>
    </xf>
    <xf numFmtId="2" fontId="15" fillId="0" borderId="20" xfId="1" applyNumberFormat="1" applyFont="1" applyFill="1" applyBorder="1" applyAlignment="1">
      <alignment horizontal="center" vertical="center"/>
    </xf>
    <xf numFmtId="0" fontId="15" fillId="2" borderId="18" xfId="1" applyNumberFormat="1" applyFont="1" applyFill="1" applyBorder="1" applyAlignment="1">
      <alignment horizontal="center" vertical="center"/>
    </xf>
    <xf numFmtId="0" fontId="15" fillId="3" borderId="8" xfId="1" applyFont="1" applyFill="1" applyBorder="1" applyAlignment="1">
      <alignment vertical="center"/>
    </xf>
    <xf numFmtId="1" fontId="15" fillId="23" borderId="20" xfId="1" applyNumberFormat="1" applyFont="1" applyFill="1" applyBorder="1" applyAlignment="1">
      <alignment horizontal="left" vertical="center"/>
    </xf>
    <xf numFmtId="0" fontId="36" fillId="23" borderId="1" xfId="1" applyNumberFormat="1" applyFont="1" applyFill="1" applyBorder="1" applyAlignment="1">
      <alignment horizontal="center" vertical="center"/>
    </xf>
    <xf numFmtId="1" fontId="15" fillId="2" borderId="33" xfId="1" applyNumberFormat="1" applyFont="1" applyFill="1" applyBorder="1" applyAlignment="1">
      <alignment horizontal="right" vertical="center"/>
    </xf>
    <xf numFmtId="49" fontId="66" fillId="16" borderId="18" xfId="1" applyNumberFormat="1" applyFont="1" applyFill="1" applyBorder="1" applyAlignment="1">
      <alignment horizontal="left" vertical="center"/>
    </xf>
    <xf numFmtId="49" fontId="66" fillId="16" borderId="1" xfId="1" applyNumberFormat="1" applyFont="1" applyFill="1" applyBorder="1" applyAlignment="1">
      <alignment vertical="center" wrapText="1"/>
    </xf>
    <xf numFmtId="0" fontId="66" fillId="16" borderId="1" xfId="1" applyNumberFormat="1" applyFont="1" applyFill="1" applyBorder="1" applyAlignment="1">
      <alignment horizontal="center" vertical="center" wrapText="1"/>
    </xf>
    <xf numFmtId="0" fontId="66" fillId="16" borderId="14" xfId="1" applyNumberFormat="1" applyFont="1" applyFill="1" applyBorder="1" applyAlignment="1">
      <alignment horizontal="center" vertical="center"/>
    </xf>
    <xf numFmtId="0" fontId="66" fillId="16" borderId="13" xfId="1" applyNumberFormat="1" applyFont="1" applyFill="1" applyBorder="1" applyAlignment="1">
      <alignment horizontal="center" vertical="center" wrapText="1"/>
    </xf>
    <xf numFmtId="0" fontId="66" fillId="16" borderId="8" xfId="1" applyNumberFormat="1" applyFont="1" applyFill="1" applyBorder="1" applyAlignment="1">
      <alignment horizontal="center" vertical="center" wrapText="1"/>
    </xf>
    <xf numFmtId="0" fontId="66" fillId="16" borderId="9" xfId="1" applyNumberFormat="1" applyFont="1" applyFill="1" applyBorder="1" applyAlignment="1">
      <alignment horizontal="center" vertical="center" wrapText="1"/>
    </xf>
    <xf numFmtId="0" fontId="66" fillId="16" borderId="1" xfId="1" applyNumberFormat="1" applyFont="1" applyFill="1" applyBorder="1" applyAlignment="1">
      <alignment horizontal="left" vertical="center" wrapText="1"/>
    </xf>
    <xf numFmtId="0" fontId="15" fillId="16" borderId="18" xfId="1" applyFont="1" applyFill="1" applyBorder="1"/>
    <xf numFmtId="0" fontId="15" fillId="16" borderId="0" xfId="1" applyFont="1" applyFill="1" applyBorder="1"/>
    <xf numFmtId="0" fontId="15" fillId="10" borderId="8" xfId="1" applyFont="1" applyFill="1" applyBorder="1" applyAlignment="1">
      <alignment vertical="center"/>
    </xf>
    <xf numFmtId="0" fontId="37" fillId="17" borderId="1" xfId="1" applyNumberFormat="1" applyFont="1" applyFill="1" applyBorder="1" applyAlignment="1">
      <alignment horizontal="center" vertical="center" wrapText="1"/>
    </xf>
    <xf numFmtId="0" fontId="37" fillId="17" borderId="1" xfId="1" applyNumberFormat="1" applyFont="1" applyFill="1" applyBorder="1" applyAlignment="1">
      <alignment horizontal="left" vertical="center" wrapText="1"/>
    </xf>
    <xf numFmtId="49" fontId="37" fillId="17" borderId="1" xfId="1" applyNumberFormat="1" applyFont="1" applyFill="1" applyBorder="1" applyAlignment="1">
      <alignment horizontal="center" vertical="center" wrapText="1"/>
    </xf>
    <xf numFmtId="49" fontId="37" fillId="17" borderId="1" xfId="1" applyNumberFormat="1" applyFont="1" applyFill="1" applyBorder="1" applyAlignment="1">
      <alignment horizontal="left" vertical="center" wrapText="1"/>
    </xf>
    <xf numFmtId="2" fontId="37" fillId="17" borderId="1" xfId="1" applyNumberFormat="1" applyFont="1" applyFill="1" applyBorder="1" applyAlignment="1">
      <alignment horizontal="left" vertical="center"/>
    </xf>
    <xf numFmtId="1" fontId="37" fillId="17" borderId="1" xfId="1" applyNumberFormat="1" applyFont="1" applyFill="1" applyBorder="1" applyAlignment="1">
      <alignment horizontal="center" vertical="center"/>
    </xf>
    <xf numFmtId="49" fontId="37" fillId="17" borderId="1" xfId="1" applyNumberFormat="1" applyFont="1" applyFill="1" applyBorder="1" applyAlignment="1">
      <alignment vertical="center"/>
    </xf>
    <xf numFmtId="0" fontId="62" fillId="17" borderId="1" xfId="1" applyNumberFormat="1" applyFont="1" applyFill="1" applyBorder="1" applyAlignment="1">
      <alignment horizontal="left" vertical="center" wrapText="1"/>
    </xf>
    <xf numFmtId="0" fontId="36" fillId="17" borderId="1" xfId="1" applyNumberFormat="1" applyFont="1" applyFill="1" applyBorder="1" applyAlignment="1">
      <alignment horizontal="center" vertical="center" wrapText="1"/>
    </xf>
    <xf numFmtId="0" fontId="37" fillId="17" borderId="12" xfId="1" applyNumberFormat="1" applyFont="1" applyFill="1" applyBorder="1" applyAlignment="1">
      <alignment horizontal="left" vertical="center" wrapText="1"/>
    </xf>
    <xf numFmtId="0" fontId="15" fillId="17" borderId="25" xfId="1" applyNumberFormat="1" applyFont="1" applyFill="1" applyBorder="1" applyAlignment="1">
      <alignment vertical="center" wrapText="1"/>
    </xf>
    <xf numFmtId="2" fontId="37" fillId="17" borderId="30" xfId="1" applyNumberFormat="1" applyFont="1" applyFill="1" applyBorder="1" applyAlignment="1">
      <alignment horizontal="center" vertical="center"/>
    </xf>
    <xf numFmtId="2" fontId="37" fillId="17" borderId="31" xfId="1" applyNumberFormat="1" applyFont="1" applyFill="1" applyBorder="1" applyAlignment="1">
      <alignment vertical="center"/>
    </xf>
    <xf numFmtId="0" fontId="37" fillId="17" borderId="1" xfId="1" applyFont="1" applyFill="1" applyBorder="1" applyAlignment="1">
      <alignment vertical="center"/>
    </xf>
    <xf numFmtId="0" fontId="36" fillId="17" borderId="2" xfId="1" applyFont="1" applyFill="1" applyBorder="1" applyAlignment="1">
      <alignment vertical="center" wrapText="1"/>
    </xf>
    <xf numFmtId="0" fontId="30" fillId="17" borderId="1" xfId="1" applyFont="1" applyFill="1" applyBorder="1" applyAlignment="1">
      <alignment vertical="center"/>
    </xf>
    <xf numFmtId="0" fontId="37" fillId="17" borderId="33" xfId="1" applyNumberFormat="1" applyFont="1" applyFill="1" applyBorder="1" applyAlignment="1">
      <alignment horizontal="right" vertical="center"/>
    </xf>
    <xf numFmtId="0" fontId="37" fillId="17" borderId="18" xfId="1" applyNumberFormat="1" applyFont="1" applyFill="1" applyBorder="1" applyAlignment="1">
      <alignment horizontal="left" vertical="center"/>
    </xf>
    <xf numFmtId="0" fontId="37" fillId="17" borderId="20" xfId="1" applyNumberFormat="1" applyFont="1" applyFill="1" applyBorder="1" applyAlignment="1">
      <alignment horizontal="left" vertical="center"/>
    </xf>
    <xf numFmtId="2" fontId="37" fillId="17" borderId="1" xfId="1" applyNumberFormat="1" applyFont="1" applyFill="1" applyBorder="1" applyAlignment="1">
      <alignment horizontal="center" vertical="center"/>
    </xf>
    <xf numFmtId="1" fontId="37" fillId="17" borderId="7" xfId="1" applyNumberFormat="1" applyFont="1" applyFill="1" applyBorder="1" applyAlignment="1">
      <alignment horizontal="right" vertical="center"/>
    </xf>
    <xf numFmtId="2" fontId="37" fillId="17" borderId="7" xfId="1" applyNumberFormat="1" applyFont="1" applyFill="1" applyBorder="1" applyAlignment="1">
      <alignment horizontal="left" vertical="center"/>
    </xf>
    <xf numFmtId="2" fontId="15" fillId="17" borderId="21" xfId="1" applyNumberFormat="1" applyFont="1" applyFill="1" applyBorder="1" applyAlignment="1">
      <alignment horizontal="center" vertical="center"/>
    </xf>
    <xf numFmtId="2" fontId="15" fillId="17" borderId="18" xfId="1" applyNumberFormat="1" applyFont="1" applyFill="1" applyBorder="1" applyAlignment="1">
      <alignment horizontal="center" vertical="center"/>
    </xf>
    <xf numFmtId="1" fontId="15" fillId="17" borderId="20" xfId="1" applyNumberFormat="1" applyFont="1" applyFill="1" applyBorder="1" applyAlignment="1">
      <alignment horizontal="left" vertical="center"/>
    </xf>
    <xf numFmtId="0" fontId="65" fillId="17" borderId="14" xfId="1" applyFont="1" applyFill="1" applyBorder="1" applyAlignment="1">
      <alignment horizontal="center" vertical="center"/>
    </xf>
    <xf numFmtId="0" fontId="37" fillId="17" borderId="13" xfId="1" applyFont="1" applyFill="1" applyBorder="1" applyAlignment="1">
      <alignment horizontal="left" vertical="center"/>
    </xf>
    <xf numFmtId="0" fontId="15" fillId="39" borderId="7" xfId="1" applyFont="1" applyFill="1" applyBorder="1" applyAlignment="1">
      <alignment vertical="center"/>
    </xf>
    <xf numFmtId="0" fontId="15" fillId="39" borderId="18" xfId="1" applyFont="1" applyFill="1" applyBorder="1" applyAlignment="1">
      <alignment vertical="center"/>
    </xf>
    <xf numFmtId="0" fontId="15" fillId="39" borderId="32" xfId="1" applyFont="1" applyFill="1" applyBorder="1" applyAlignment="1">
      <alignment vertical="center"/>
    </xf>
    <xf numFmtId="1" fontId="15" fillId="17" borderId="1" xfId="1" applyNumberFormat="1" applyFont="1" applyFill="1" applyBorder="1" applyAlignment="1">
      <alignment horizontal="right" vertical="center"/>
    </xf>
    <xf numFmtId="49" fontId="37" fillId="17" borderId="21" xfId="1" applyNumberFormat="1" applyFont="1" applyFill="1" applyBorder="1" applyAlignment="1">
      <alignment horizontal="right" vertical="center"/>
    </xf>
    <xf numFmtId="49" fontId="37" fillId="17" borderId="18" xfId="1" applyNumberFormat="1" applyFont="1" applyFill="1" applyBorder="1" applyAlignment="1">
      <alignment horizontal="left" vertical="center"/>
    </xf>
    <xf numFmtId="49" fontId="37" fillId="17" borderId="18" xfId="1" applyNumberFormat="1" applyFont="1" applyFill="1" applyBorder="1" applyAlignment="1">
      <alignment horizontal="center" vertical="center"/>
    </xf>
    <xf numFmtId="0" fontId="15" fillId="17" borderId="20" xfId="1" applyNumberFormat="1" applyFont="1" applyFill="1" applyBorder="1" applyAlignment="1">
      <alignment horizontal="left" vertical="center" wrapText="1"/>
    </xf>
    <xf numFmtId="0" fontId="15" fillId="17" borderId="9" xfId="1" applyNumberFormat="1" applyFont="1" applyFill="1" applyBorder="1" applyAlignment="1">
      <alignment horizontal="left" vertical="center" wrapText="1"/>
    </xf>
    <xf numFmtId="49" fontId="37" fillId="17" borderId="1" xfId="1" applyNumberFormat="1" applyFont="1" applyFill="1" applyBorder="1" applyAlignment="1">
      <alignment vertical="center" wrapText="1"/>
    </xf>
    <xf numFmtId="0" fontId="36" fillId="17" borderId="1" xfId="1" applyNumberFormat="1" applyFont="1" applyFill="1" applyBorder="1" applyAlignment="1">
      <alignment horizontal="center" vertical="center"/>
    </xf>
    <xf numFmtId="1" fontId="37" fillId="17" borderId="1" xfId="1" applyNumberFormat="1" applyFont="1" applyFill="1" applyBorder="1" applyAlignment="1">
      <alignment horizontal="center" vertical="center" wrapText="1"/>
    </xf>
    <xf numFmtId="1" fontId="36" fillId="17" borderId="2" xfId="1" applyNumberFormat="1" applyFont="1" applyFill="1" applyBorder="1" applyAlignment="1">
      <alignment horizontal="center" vertical="center"/>
    </xf>
    <xf numFmtId="2" fontId="37" fillId="23" borderId="1" xfId="1" applyNumberFormat="1" applyFont="1" applyFill="1" applyBorder="1" applyAlignment="1">
      <alignment horizontal="center" vertical="center"/>
    </xf>
    <xf numFmtId="0" fontId="37" fillId="17" borderId="1" xfId="1" applyFont="1" applyFill="1" applyBorder="1" applyAlignment="1">
      <alignment horizontal="center" vertical="center"/>
    </xf>
    <xf numFmtId="1" fontId="37" fillId="17" borderId="8" xfId="1" applyNumberFormat="1" applyFont="1" applyFill="1" applyBorder="1" applyAlignment="1">
      <alignment horizontal="right" vertical="center" wrapText="1"/>
    </xf>
    <xf numFmtId="1" fontId="37" fillId="17" borderId="8" xfId="1" applyNumberFormat="1" applyFont="1" applyFill="1" applyBorder="1" applyAlignment="1">
      <alignment horizontal="left" vertical="center" wrapText="1"/>
    </xf>
    <xf numFmtId="0" fontId="15" fillId="17" borderId="21" xfId="1" applyFont="1" applyFill="1" applyBorder="1" applyAlignment="1">
      <alignment vertical="center"/>
    </xf>
    <xf numFmtId="49" fontId="15" fillId="17" borderId="33" xfId="1" applyNumberFormat="1" applyFont="1" applyFill="1" applyBorder="1" applyAlignment="1">
      <alignment horizontal="right" vertical="center" wrapText="1"/>
    </xf>
    <xf numFmtId="0" fontId="15" fillId="17" borderId="20" xfId="1" applyNumberFormat="1" applyFont="1" applyFill="1" applyBorder="1" applyAlignment="1">
      <alignment horizontal="center" vertical="center" wrapText="1"/>
    </xf>
    <xf numFmtId="0" fontId="65" fillId="17" borderId="13" xfId="1" applyFont="1" applyFill="1" applyBorder="1" applyAlignment="1">
      <alignment horizontal="left" vertical="center"/>
    </xf>
    <xf numFmtId="1" fontId="37" fillId="17" borderId="7" xfId="1" applyNumberFormat="1" applyFont="1" applyFill="1" applyBorder="1" applyAlignment="1">
      <alignment horizontal="right" vertical="center" wrapText="1"/>
    </xf>
    <xf numFmtId="0" fontId="37" fillId="17" borderId="9" xfId="1" applyFont="1" applyFill="1" applyBorder="1" applyAlignment="1">
      <alignment horizontal="left" vertical="center"/>
    </xf>
    <xf numFmtId="49" fontId="15" fillId="17" borderId="21" xfId="1" applyNumberFormat="1" applyFont="1" applyFill="1" applyBorder="1" applyAlignment="1">
      <alignment horizontal="right" vertical="center" wrapText="1"/>
    </xf>
    <xf numFmtId="49" fontId="37" fillId="17" borderId="33" xfId="1" applyNumberFormat="1" applyFont="1" applyFill="1" applyBorder="1" applyAlignment="1">
      <alignment horizontal="right" vertical="center" wrapText="1"/>
    </xf>
    <xf numFmtId="0" fontId="37" fillId="17" borderId="20" xfId="1" applyNumberFormat="1" applyFont="1" applyFill="1" applyBorder="1" applyAlignment="1">
      <alignment horizontal="left" vertical="center" wrapText="1"/>
    </xf>
    <xf numFmtId="49" fontId="37" fillId="17" borderId="9" xfId="1" applyNumberFormat="1" applyFont="1" applyFill="1" applyBorder="1" applyAlignment="1">
      <alignment vertical="center"/>
    </xf>
    <xf numFmtId="0" fontId="37" fillId="17" borderId="1" xfId="1" applyNumberFormat="1" applyFont="1" applyFill="1" applyBorder="1" applyAlignment="1">
      <alignment horizontal="center" vertical="center"/>
    </xf>
    <xf numFmtId="0" fontId="36" fillId="17" borderId="2" xfId="1" applyFont="1" applyFill="1" applyBorder="1" applyAlignment="1">
      <alignment horizontal="center" vertical="center"/>
    </xf>
    <xf numFmtId="0" fontId="65" fillId="17" borderId="1" xfId="1" applyNumberFormat="1" applyFont="1" applyFill="1" applyBorder="1" applyAlignment="1">
      <alignment horizontal="center" vertical="center" wrapText="1"/>
    </xf>
    <xf numFmtId="1" fontId="37" fillId="17" borderId="7" xfId="1" applyNumberFormat="1" applyFont="1" applyFill="1" applyBorder="1" applyAlignment="1">
      <alignment horizontal="center" vertical="center"/>
    </xf>
    <xf numFmtId="0" fontId="37" fillId="17" borderId="0" xfId="1" applyFont="1" applyFill="1" applyBorder="1" applyAlignment="1">
      <alignment vertical="center"/>
    </xf>
    <xf numFmtId="0" fontId="37" fillId="17" borderId="14" xfId="1" applyNumberFormat="1" applyFont="1" applyFill="1" applyBorder="1" applyAlignment="1">
      <alignment horizontal="center" vertical="center"/>
    </xf>
    <xf numFmtId="0" fontId="37" fillId="17" borderId="15" xfId="1" applyNumberFormat="1" applyFont="1" applyFill="1" applyBorder="1" applyAlignment="1">
      <alignment horizontal="center" vertical="center" wrapText="1"/>
    </xf>
    <xf numFmtId="0" fontId="37" fillId="17" borderId="13" xfId="1" applyNumberFormat="1" applyFont="1" applyFill="1" applyBorder="1" applyAlignment="1">
      <alignment horizontal="center" vertical="center"/>
    </xf>
    <xf numFmtId="1" fontId="65" fillId="17" borderId="7" xfId="1" applyNumberFormat="1" applyFont="1" applyFill="1" applyBorder="1" applyAlignment="1">
      <alignment horizontal="right" vertical="center"/>
    </xf>
    <xf numFmtId="2" fontId="65" fillId="17" borderId="1" xfId="1" applyNumberFormat="1" applyFont="1" applyFill="1" applyBorder="1" applyAlignment="1">
      <alignment horizontal="center" vertical="center"/>
    </xf>
    <xf numFmtId="0" fontId="37" fillId="17" borderId="14" xfId="1" applyFont="1" applyFill="1" applyBorder="1" applyAlignment="1">
      <alignment vertical="center"/>
    </xf>
    <xf numFmtId="0" fontId="37" fillId="17" borderId="13" xfId="1" applyFont="1" applyFill="1" applyBorder="1" applyAlignment="1">
      <alignment vertical="center"/>
    </xf>
    <xf numFmtId="1" fontId="65" fillId="17" borderId="8" xfId="1" applyNumberFormat="1" applyFont="1" applyFill="1" applyBorder="1" applyAlignment="1">
      <alignment horizontal="center" vertical="center"/>
    </xf>
    <xf numFmtId="1" fontId="65" fillId="17" borderId="24" xfId="1" applyNumberFormat="1" applyFont="1" applyFill="1" applyBorder="1" applyAlignment="1">
      <alignment horizontal="center" vertical="center" wrapText="1"/>
    </xf>
    <xf numFmtId="0" fontId="37" fillId="17" borderId="13" xfId="1" applyNumberFormat="1" applyFont="1" applyFill="1" applyBorder="1" applyAlignment="1">
      <alignment horizontal="center" vertical="center" wrapText="1"/>
    </xf>
    <xf numFmtId="0" fontId="37" fillId="17" borderId="8" xfId="1" applyNumberFormat="1" applyFont="1" applyFill="1" applyBorder="1" applyAlignment="1">
      <alignment horizontal="center" vertical="center" wrapText="1"/>
    </xf>
    <xf numFmtId="0" fontId="37" fillId="17" borderId="9" xfId="1" applyNumberFormat="1" applyFont="1" applyFill="1" applyBorder="1" applyAlignment="1">
      <alignment horizontal="center" vertical="center"/>
    </xf>
    <xf numFmtId="0" fontId="37" fillId="17" borderId="1" xfId="1" applyNumberFormat="1" applyFont="1" applyFill="1" applyBorder="1" applyAlignment="1">
      <alignment horizontal="left" vertical="center"/>
    </xf>
    <xf numFmtId="0" fontId="37" fillId="17" borderId="1" xfId="1" applyNumberFormat="1" applyFont="1" applyFill="1" applyBorder="1" applyAlignment="1">
      <alignment vertical="center"/>
    </xf>
    <xf numFmtId="0" fontId="37" fillId="17" borderId="9" xfId="1" applyNumberFormat="1" applyFont="1" applyFill="1" applyBorder="1" applyAlignment="1">
      <alignment horizontal="left" vertical="center" wrapText="1"/>
    </xf>
    <xf numFmtId="0" fontId="37" fillId="17" borderId="24" xfId="1" applyNumberFormat="1" applyFont="1" applyFill="1" applyBorder="1" applyAlignment="1">
      <alignment horizontal="left" vertical="center" wrapText="1"/>
    </xf>
    <xf numFmtId="0" fontId="37" fillId="17" borderId="24" xfId="1" applyNumberFormat="1" applyFont="1" applyFill="1" applyBorder="1" applyAlignment="1">
      <alignment horizontal="left" vertical="center"/>
    </xf>
    <xf numFmtId="0" fontId="37" fillId="17" borderId="20" xfId="1" applyNumberFormat="1" applyFont="1" applyFill="1" applyBorder="1" applyAlignment="1">
      <alignment horizontal="right" vertical="center" wrapText="1"/>
    </xf>
    <xf numFmtId="0" fontId="37" fillId="17" borderId="32" xfId="1" applyNumberFormat="1" applyFont="1" applyFill="1" applyBorder="1" applyAlignment="1">
      <alignment horizontal="center" vertical="center" wrapText="1"/>
    </xf>
    <xf numFmtId="1" fontId="65" fillId="17" borderId="1" xfId="1" applyNumberFormat="1" applyFont="1" applyFill="1" applyBorder="1" applyAlignment="1">
      <alignment horizontal="center" vertical="center"/>
    </xf>
    <xf numFmtId="0" fontId="15" fillId="8" borderId="8" xfId="1" applyFont="1" applyFill="1" applyBorder="1" applyAlignment="1">
      <alignment vertical="center"/>
    </xf>
    <xf numFmtId="0" fontId="37" fillId="2" borderId="1" xfId="1" applyNumberFormat="1" applyFont="1" applyFill="1" applyBorder="1" applyAlignment="1">
      <alignment horizontal="center" vertical="center" wrapText="1"/>
    </xf>
    <xf numFmtId="49" fontId="15" fillId="6" borderId="18" xfId="1" applyNumberFormat="1" applyFont="1" applyFill="1" applyBorder="1" applyAlignment="1">
      <alignment horizontal="left" vertical="center"/>
    </xf>
    <xf numFmtId="0" fontId="15" fillId="0" borderId="14" xfId="1" applyFont="1" applyBorder="1"/>
    <xf numFmtId="0" fontId="15" fillId="0" borderId="13" xfId="1" applyFont="1" applyBorder="1"/>
    <xf numFmtId="0" fontId="15" fillId="0" borderId="8" xfId="1" applyFont="1" applyBorder="1"/>
    <xf numFmtId="0" fontId="15" fillId="6" borderId="20" xfId="1" applyNumberFormat="1" applyFont="1" applyFill="1" applyBorder="1" applyAlignment="1">
      <alignment horizontal="right" vertical="center" wrapText="1"/>
    </xf>
    <xf numFmtId="0" fontId="66" fillId="2" borderId="8" xfId="1" applyFont="1" applyFill="1" applyBorder="1" applyAlignment="1">
      <alignment vertical="center"/>
    </xf>
    <xf numFmtId="0" fontId="15" fillId="2" borderId="0" xfId="1" applyNumberFormat="1" applyFont="1" applyFill="1" applyBorder="1" applyAlignment="1">
      <alignment horizontal="center" vertical="center"/>
    </xf>
    <xf numFmtId="0" fontId="15" fillId="2" borderId="0" xfId="1" applyNumberFormat="1" applyFont="1" applyFill="1" applyBorder="1" applyAlignment="1">
      <alignment horizontal="center" vertical="center" wrapText="1"/>
    </xf>
    <xf numFmtId="49" fontId="15" fillId="12" borderId="21" xfId="1" applyNumberFormat="1" applyFont="1" applyFill="1" applyBorder="1" applyAlignment="1">
      <alignment horizontal="right" vertical="center"/>
    </xf>
    <xf numFmtId="0" fontId="15" fillId="4" borderId="8" xfId="1" applyFont="1" applyFill="1" applyBorder="1" applyAlignment="1">
      <alignment vertical="center"/>
    </xf>
    <xf numFmtId="2" fontId="15" fillId="0" borderId="18" xfId="1" quotePrefix="1" applyNumberFormat="1" applyFont="1" applyFill="1" applyBorder="1" applyAlignment="1">
      <alignment horizontal="center" vertical="center"/>
    </xf>
    <xf numFmtId="0" fontId="15" fillId="22" borderId="8" xfId="1" applyFont="1" applyFill="1" applyBorder="1" applyAlignment="1">
      <alignment vertical="center"/>
    </xf>
    <xf numFmtId="1" fontId="15" fillId="2" borderId="1" xfId="1" applyNumberFormat="1" applyFont="1" applyFill="1" applyBorder="1" applyAlignment="1">
      <alignment horizontal="right" vertical="center"/>
    </xf>
    <xf numFmtId="49" fontId="63" fillId="2" borderId="0" xfId="1" applyNumberFormat="1" applyFont="1" applyFill="1" applyBorder="1" applyAlignment="1">
      <alignment vertical="center" wrapText="1"/>
    </xf>
    <xf numFmtId="1" fontId="15" fillId="2" borderId="0" xfId="1" applyNumberFormat="1" applyFont="1" applyFill="1" applyBorder="1" applyAlignment="1">
      <alignment horizontal="center" vertical="center"/>
    </xf>
    <xf numFmtId="0" fontId="15" fillId="16" borderId="2" xfId="1" applyFont="1" applyFill="1" applyBorder="1" applyAlignment="1">
      <alignment vertical="center" wrapText="1"/>
    </xf>
    <xf numFmtId="0" fontId="15" fillId="0" borderId="1" xfId="1" applyFont="1" applyFill="1" applyBorder="1" applyAlignment="1">
      <alignment vertical="center"/>
    </xf>
    <xf numFmtId="1" fontId="15" fillId="2" borderId="7" xfId="1" quotePrefix="1" applyNumberFormat="1" applyFont="1" applyFill="1" applyBorder="1" applyAlignment="1">
      <alignment horizontal="right" vertical="center"/>
    </xf>
    <xf numFmtId="49" fontId="15" fillId="2" borderId="9" xfId="1" applyNumberFormat="1" applyFont="1" applyFill="1" applyBorder="1" applyAlignment="1">
      <alignment vertical="center" wrapText="1"/>
    </xf>
    <xf numFmtId="0" fontId="15" fillId="13" borderId="1" xfId="1" applyNumberFormat="1" applyFont="1" applyFill="1" applyBorder="1" applyAlignment="1">
      <alignment horizontal="center" vertical="center"/>
    </xf>
    <xf numFmtId="1" fontId="15" fillId="16" borderId="2" xfId="1" applyNumberFormat="1" applyFont="1" applyFill="1" applyBorder="1" applyAlignment="1">
      <alignment horizontal="center" vertical="center"/>
    </xf>
    <xf numFmtId="0" fontId="8" fillId="2" borderId="13" xfId="1" applyFont="1" applyFill="1" applyBorder="1" applyAlignment="1">
      <alignment horizontal="left" vertical="center"/>
    </xf>
    <xf numFmtId="49" fontId="15" fillId="2" borderId="9" xfId="1" applyNumberFormat="1" applyFont="1" applyFill="1" applyBorder="1" applyAlignment="1">
      <alignment vertical="center"/>
    </xf>
    <xf numFmtId="0" fontId="15" fillId="4" borderId="1" xfId="1" applyNumberFormat="1" applyFont="1" applyFill="1" applyBorder="1" applyAlignment="1">
      <alignment horizontal="center" vertical="center"/>
    </xf>
    <xf numFmtId="0" fontId="15" fillId="16" borderId="2" xfId="1" applyFont="1" applyFill="1" applyBorder="1" applyAlignment="1">
      <alignment horizontal="center" vertical="center"/>
    </xf>
    <xf numFmtId="0" fontId="15" fillId="8" borderId="1" xfId="1" applyFont="1" applyFill="1" applyBorder="1" applyAlignment="1">
      <alignment vertical="center"/>
    </xf>
    <xf numFmtId="2" fontId="8" fillId="2" borderId="1" xfId="1" applyNumberFormat="1" applyFont="1" applyFill="1" applyBorder="1" applyAlignment="1">
      <alignment horizontal="center" vertical="center"/>
    </xf>
    <xf numFmtId="0" fontId="15" fillId="0" borderId="1" xfId="1" applyFont="1" applyBorder="1" applyAlignment="1">
      <alignment vertical="center" wrapText="1"/>
    </xf>
    <xf numFmtId="0" fontId="15" fillId="0" borderId="1" xfId="1" applyNumberFormat="1" applyFont="1" applyFill="1" applyBorder="1" applyAlignment="1">
      <alignment horizontal="left" vertical="center" wrapText="1"/>
    </xf>
    <xf numFmtId="49" fontId="15"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left" vertical="center" wrapText="1"/>
    </xf>
    <xf numFmtId="2" fontId="15" fillId="0" borderId="1" xfId="1" applyNumberFormat="1" applyFont="1" applyFill="1" applyBorder="1" applyAlignment="1">
      <alignment horizontal="left" vertical="center"/>
    </xf>
    <xf numFmtId="1" fontId="15" fillId="0" borderId="1" xfId="1" applyNumberFormat="1" applyFont="1" applyFill="1" applyBorder="1" applyAlignment="1">
      <alignment horizontal="center" vertical="center"/>
    </xf>
    <xf numFmtId="0" fontId="66" fillId="2" borderId="9" xfId="1" applyNumberFormat="1" applyFont="1" applyFill="1" applyBorder="1" applyAlignment="1">
      <alignment horizontal="center" vertical="center"/>
    </xf>
    <xf numFmtId="49" fontId="66" fillId="2" borderId="18" xfId="1" applyNumberFormat="1" applyFont="1" applyFill="1" applyBorder="1" applyAlignment="1">
      <alignment horizontal="center" vertical="center"/>
    </xf>
    <xf numFmtId="0" fontId="15" fillId="0" borderId="20" xfId="1" applyFont="1" applyFill="1" applyBorder="1" applyAlignment="1">
      <alignment horizontal="left" vertical="center"/>
    </xf>
    <xf numFmtId="0" fontId="15" fillId="0" borderId="9" xfId="1" applyFont="1" applyFill="1" applyBorder="1" applyAlignment="1">
      <alignment horizontal="left" vertical="center"/>
    </xf>
    <xf numFmtId="0" fontId="15" fillId="0" borderId="9" xfId="1" applyFont="1" applyBorder="1" applyAlignment="1">
      <alignment wrapText="1"/>
    </xf>
    <xf numFmtId="1" fontId="15" fillId="2" borderId="8" xfId="1" applyNumberFormat="1" applyFont="1" applyFill="1" applyBorder="1" applyAlignment="1">
      <alignment horizontal="center" vertical="center"/>
    </xf>
    <xf numFmtId="0" fontId="15" fillId="2" borderId="1" xfId="1" applyFont="1" applyFill="1" applyBorder="1" applyAlignment="1">
      <alignment vertical="center" wrapText="1"/>
    </xf>
    <xf numFmtId="0" fontId="37" fillId="16" borderId="8" xfId="1" applyFont="1" applyFill="1" applyBorder="1" applyAlignment="1">
      <alignment vertical="center"/>
    </xf>
    <xf numFmtId="0" fontId="37" fillId="22" borderId="8" xfId="1" applyFont="1" applyFill="1" applyBorder="1" applyAlignment="1">
      <alignment vertical="center"/>
    </xf>
    <xf numFmtId="0" fontId="15" fillId="17" borderId="1" xfId="1" applyNumberFormat="1" applyFont="1" applyFill="1" applyBorder="1" applyAlignment="1">
      <alignment horizontal="center" vertical="center" wrapText="1"/>
    </xf>
    <xf numFmtId="0" fontId="15" fillId="17" borderId="1" xfId="1" applyNumberFormat="1" applyFont="1" applyFill="1" applyBorder="1" applyAlignment="1">
      <alignment horizontal="left" vertical="center" wrapText="1"/>
    </xf>
    <xf numFmtId="49" fontId="15" fillId="17" borderId="1" xfId="1" applyNumberFormat="1" applyFont="1" applyFill="1" applyBorder="1" applyAlignment="1">
      <alignment horizontal="center" vertical="center" wrapText="1"/>
    </xf>
    <xf numFmtId="49" fontId="15" fillId="17" borderId="1" xfId="1" applyNumberFormat="1" applyFont="1" applyFill="1" applyBorder="1" applyAlignment="1">
      <alignment horizontal="left" vertical="center" wrapText="1"/>
    </xf>
    <xf numFmtId="0" fontId="15" fillId="17" borderId="12" xfId="1" applyNumberFormat="1" applyFont="1" applyFill="1" applyBorder="1" applyAlignment="1">
      <alignment horizontal="left" vertical="center" wrapText="1"/>
    </xf>
    <xf numFmtId="2" fontId="15" fillId="17" borderId="30" xfId="1" applyNumberFormat="1" applyFont="1" applyFill="1" applyBorder="1" applyAlignment="1">
      <alignment horizontal="center" vertical="center"/>
    </xf>
    <xf numFmtId="2" fontId="15" fillId="17" borderId="31" xfId="1" applyNumberFormat="1" applyFont="1" applyFill="1" applyBorder="1" applyAlignment="1">
      <alignment vertical="center"/>
    </xf>
    <xf numFmtId="0" fontId="15" fillId="17" borderId="1" xfId="1" applyFont="1" applyFill="1" applyBorder="1" applyAlignment="1">
      <alignment vertical="center"/>
    </xf>
    <xf numFmtId="1" fontId="15" fillId="17" borderId="1" xfId="1" applyNumberFormat="1" applyFont="1" applyFill="1" applyBorder="1" applyAlignment="1">
      <alignment horizontal="center" vertical="center"/>
    </xf>
    <xf numFmtId="0" fontId="15" fillId="17" borderId="33" xfId="1" applyNumberFormat="1" applyFont="1" applyFill="1" applyBorder="1" applyAlignment="1">
      <alignment horizontal="right" vertical="center"/>
    </xf>
    <xf numFmtId="0" fontId="15" fillId="17" borderId="18" xfId="1" applyNumberFormat="1" applyFont="1" applyFill="1" applyBorder="1" applyAlignment="1">
      <alignment horizontal="left" vertical="center"/>
    </xf>
    <xf numFmtId="0" fontId="15" fillId="17" borderId="20" xfId="1" applyNumberFormat="1" applyFont="1" applyFill="1" applyBorder="1" applyAlignment="1">
      <alignment horizontal="left" vertical="center"/>
    </xf>
    <xf numFmtId="2" fontId="15" fillId="17" borderId="1" xfId="1" applyNumberFormat="1" applyFont="1" applyFill="1" applyBorder="1" applyAlignment="1">
      <alignment horizontal="center" vertical="center"/>
    </xf>
    <xf numFmtId="2" fontId="15" fillId="17" borderId="7" xfId="1" applyNumberFormat="1" applyFont="1" applyFill="1" applyBorder="1" applyAlignment="1">
      <alignment horizontal="center" vertical="center"/>
    </xf>
    <xf numFmtId="0" fontId="8" fillId="17" borderId="14" xfId="1" applyFont="1" applyFill="1" applyBorder="1" applyAlignment="1">
      <alignment horizontal="center" vertical="center"/>
    </xf>
    <xf numFmtId="0" fontId="15" fillId="17" borderId="13" xfId="1" applyFont="1" applyFill="1" applyBorder="1" applyAlignment="1">
      <alignment horizontal="left" vertical="center"/>
    </xf>
    <xf numFmtId="1" fontId="15" fillId="17" borderId="7" xfId="1" applyNumberFormat="1" applyFont="1" applyFill="1" applyBorder="1" applyAlignment="1">
      <alignment horizontal="right" vertical="center"/>
    </xf>
    <xf numFmtId="2" fontId="15" fillId="17" borderId="18" xfId="1" applyNumberFormat="1" applyFont="1" applyFill="1" applyBorder="1" applyAlignment="1">
      <alignment horizontal="left" vertical="center"/>
    </xf>
    <xf numFmtId="1" fontId="15" fillId="17" borderId="32" xfId="1" applyNumberFormat="1" applyFont="1" applyFill="1" applyBorder="1" applyAlignment="1">
      <alignment horizontal="left" vertical="center"/>
    </xf>
    <xf numFmtId="2" fontId="15" fillId="17" borderId="1" xfId="1" applyNumberFormat="1" applyFont="1" applyFill="1" applyBorder="1" applyAlignment="1">
      <alignment horizontal="left" vertical="center"/>
    </xf>
    <xf numFmtId="2" fontId="15" fillId="17" borderId="7" xfId="1" applyNumberFormat="1" applyFont="1" applyFill="1" applyBorder="1" applyAlignment="1">
      <alignment horizontal="left" vertical="center"/>
    </xf>
    <xf numFmtId="49" fontId="15" fillId="17" borderId="21" xfId="1" applyNumberFormat="1" applyFont="1" applyFill="1" applyBorder="1" applyAlignment="1">
      <alignment horizontal="right" vertical="center"/>
    </xf>
    <xf numFmtId="49" fontId="15" fillId="17" borderId="0" xfId="1" applyNumberFormat="1" applyFont="1" applyFill="1" applyBorder="1" applyAlignment="1">
      <alignment horizontal="center" vertical="center"/>
    </xf>
    <xf numFmtId="49" fontId="15" fillId="17" borderId="0" xfId="1" applyNumberFormat="1" applyFont="1" applyFill="1" applyBorder="1" applyAlignment="1">
      <alignment horizontal="left" vertical="center"/>
    </xf>
    <xf numFmtId="49" fontId="63" fillId="17" borderId="9" xfId="1" applyNumberFormat="1" applyFont="1" applyFill="1" applyBorder="1" applyAlignment="1">
      <alignment vertical="center" wrapText="1"/>
    </xf>
    <xf numFmtId="1" fontId="15" fillId="17" borderId="1" xfId="1" applyNumberFormat="1" applyFont="1" applyFill="1" applyBorder="1" applyAlignment="1">
      <alignment horizontal="center" vertical="center" wrapText="1"/>
    </xf>
    <xf numFmtId="0" fontId="15" fillId="17" borderId="1" xfId="1" applyFont="1" applyFill="1" applyBorder="1" applyAlignment="1">
      <alignment horizontal="center" vertical="center"/>
    </xf>
    <xf numFmtId="0" fontId="20" fillId="17" borderId="13" xfId="1" applyFont="1" applyFill="1" applyBorder="1" applyAlignment="1">
      <alignment horizontal="left" vertical="center"/>
    </xf>
    <xf numFmtId="49" fontId="63" fillId="17" borderId="9" xfId="1" applyNumberFormat="1" applyFont="1" applyFill="1" applyBorder="1" applyAlignment="1">
      <alignment vertical="center"/>
    </xf>
    <xf numFmtId="0" fontId="64" fillId="17" borderId="1" xfId="1" applyNumberFormat="1" applyFont="1" applyFill="1" applyBorder="1" applyAlignment="1">
      <alignment horizontal="center" vertical="center"/>
    </xf>
    <xf numFmtId="0" fontId="8" fillId="17" borderId="1" xfId="1" applyNumberFormat="1" applyFont="1" applyFill="1" applyBorder="1" applyAlignment="1">
      <alignment horizontal="center" vertical="center" wrapText="1"/>
    </xf>
    <xf numFmtId="1" fontId="15" fillId="17" borderId="7" xfId="1" applyNumberFormat="1" applyFont="1" applyFill="1" applyBorder="1" applyAlignment="1">
      <alignment horizontal="center" vertical="center"/>
    </xf>
    <xf numFmtId="0" fontId="15" fillId="17" borderId="0" xfId="1" applyFont="1" applyFill="1" applyBorder="1" applyAlignment="1">
      <alignment vertical="center"/>
    </xf>
    <xf numFmtId="0" fontId="15" fillId="17" borderId="1" xfId="1" applyNumberFormat="1" applyFont="1" applyFill="1" applyBorder="1" applyAlignment="1">
      <alignment horizontal="center" vertical="center"/>
    </xf>
    <xf numFmtId="0" fontId="15" fillId="17" borderId="14" xfId="1" applyNumberFormat="1" applyFont="1" applyFill="1" applyBorder="1" applyAlignment="1">
      <alignment horizontal="center" vertical="center"/>
    </xf>
    <xf numFmtId="0" fontId="15" fillId="17" borderId="15" xfId="1" applyNumberFormat="1" applyFont="1" applyFill="1" applyBorder="1" applyAlignment="1">
      <alignment horizontal="center" vertical="center" wrapText="1"/>
    </xf>
    <xf numFmtId="0" fontId="15" fillId="17" borderId="13" xfId="1" applyNumberFormat="1" applyFont="1" applyFill="1" applyBorder="1" applyAlignment="1">
      <alignment horizontal="center" vertical="center"/>
    </xf>
    <xf numFmtId="1" fontId="8" fillId="17" borderId="7" xfId="1" applyNumberFormat="1" applyFont="1" applyFill="1" applyBorder="1" applyAlignment="1">
      <alignment horizontal="right" vertical="center"/>
    </xf>
    <xf numFmtId="2" fontId="20" fillId="17" borderId="1" xfId="1" applyNumberFormat="1" applyFont="1" applyFill="1" applyBorder="1" applyAlignment="1">
      <alignment horizontal="center" vertical="center"/>
    </xf>
    <xf numFmtId="0" fontId="15" fillId="17" borderId="14" xfId="1" applyFont="1" applyFill="1" applyBorder="1" applyAlignment="1">
      <alignment vertical="center"/>
    </xf>
    <xf numFmtId="0" fontId="15" fillId="17" borderId="13" xfId="1" applyFont="1" applyFill="1" applyBorder="1" applyAlignment="1">
      <alignment vertical="center"/>
    </xf>
    <xf numFmtId="1" fontId="8" fillId="17" borderId="8" xfId="1" applyNumberFormat="1" applyFont="1" applyFill="1" applyBorder="1" applyAlignment="1">
      <alignment horizontal="center" vertical="center"/>
    </xf>
    <xf numFmtId="1" fontId="8" fillId="17" borderId="24" xfId="1" applyNumberFormat="1" applyFont="1" applyFill="1" applyBorder="1" applyAlignment="1">
      <alignment horizontal="center" vertical="center" wrapText="1"/>
    </xf>
    <xf numFmtId="1" fontId="15" fillId="17" borderId="8" xfId="1" applyNumberFormat="1" applyFont="1" applyFill="1" applyBorder="1" applyAlignment="1">
      <alignment horizontal="center" vertical="center"/>
    </xf>
    <xf numFmtId="0" fontId="15" fillId="17" borderId="13" xfId="1" applyNumberFormat="1" applyFont="1" applyFill="1" applyBorder="1" applyAlignment="1">
      <alignment horizontal="center" vertical="center" wrapText="1"/>
    </xf>
    <xf numFmtId="0" fontId="15" fillId="17" borderId="1" xfId="1" applyFont="1" applyFill="1" applyBorder="1" applyAlignment="1">
      <alignment horizontal="center" vertical="center" wrapText="1"/>
    </xf>
    <xf numFmtId="0" fontId="15" fillId="17" borderId="8" xfId="1" applyNumberFormat="1" applyFont="1" applyFill="1" applyBorder="1" applyAlignment="1">
      <alignment horizontal="center" vertical="center" wrapText="1"/>
    </xf>
    <xf numFmtId="0" fontId="15" fillId="17" borderId="9" xfId="1" applyNumberFormat="1" applyFont="1" applyFill="1" applyBorder="1" applyAlignment="1">
      <alignment horizontal="center" vertical="center"/>
    </xf>
    <xf numFmtId="0" fontId="15" fillId="17" borderId="1" xfId="1" applyNumberFormat="1" applyFont="1" applyFill="1" applyBorder="1" applyAlignment="1">
      <alignment horizontal="left" vertical="center"/>
    </xf>
    <xf numFmtId="0" fontId="15" fillId="17" borderId="1" xfId="1" applyNumberFormat="1" applyFont="1" applyFill="1" applyBorder="1" applyAlignment="1">
      <alignment vertical="center"/>
    </xf>
    <xf numFmtId="0" fontId="15" fillId="17" borderId="24" xfId="1" applyNumberFormat="1" applyFont="1" applyFill="1" applyBorder="1" applyAlignment="1">
      <alignment horizontal="left" vertical="center" wrapText="1"/>
    </xf>
    <xf numFmtId="49" fontId="15" fillId="17" borderId="18" xfId="1" applyNumberFormat="1" applyFont="1" applyFill="1" applyBorder="1" applyAlignment="1">
      <alignment horizontal="center" vertical="center"/>
    </xf>
    <xf numFmtId="0" fontId="15" fillId="17" borderId="20" xfId="1" applyNumberFormat="1" applyFont="1" applyFill="1" applyBorder="1" applyAlignment="1">
      <alignment horizontal="right" vertical="center" wrapText="1"/>
    </xf>
    <xf numFmtId="0" fontId="15" fillId="17" borderId="32" xfId="1" applyNumberFormat="1" applyFont="1" applyFill="1" applyBorder="1" applyAlignment="1">
      <alignment horizontal="center" vertical="center" wrapText="1"/>
    </xf>
    <xf numFmtId="1" fontId="8" fillId="17" borderId="1" xfId="1" applyNumberFormat="1" applyFont="1" applyFill="1" applyBorder="1" applyAlignment="1">
      <alignment horizontal="center" vertical="center"/>
    </xf>
    <xf numFmtId="0" fontId="15" fillId="16" borderId="18" xfId="1" applyFont="1" applyFill="1" applyBorder="1" applyAlignment="1">
      <alignment horizontal="left"/>
    </xf>
    <xf numFmtId="0" fontId="15" fillId="16" borderId="21" xfId="1" applyFont="1" applyFill="1" applyBorder="1"/>
    <xf numFmtId="2" fontId="15" fillId="2" borderId="0" xfId="1" applyNumberFormat="1" applyFont="1" applyFill="1" applyBorder="1" applyAlignment="1">
      <alignment horizontal="center" vertical="center"/>
    </xf>
    <xf numFmtId="2" fontId="15" fillId="2" borderId="0" xfId="1" applyNumberFormat="1" applyFont="1" applyFill="1" applyBorder="1" applyAlignment="1">
      <alignment vertical="center"/>
    </xf>
    <xf numFmtId="0" fontId="36" fillId="16" borderId="0" xfId="1" applyFont="1" applyFill="1" applyBorder="1" applyAlignment="1">
      <alignment vertical="center" wrapText="1"/>
    </xf>
    <xf numFmtId="0" fontId="30" fillId="0" borderId="0" xfId="1" applyFont="1" applyFill="1" applyBorder="1" applyAlignment="1">
      <alignment vertical="center"/>
    </xf>
    <xf numFmtId="0" fontId="15" fillId="2" borderId="0" xfId="1" applyNumberFormat="1" applyFont="1" applyFill="1" applyBorder="1" applyAlignment="1">
      <alignment horizontal="left" vertical="center"/>
    </xf>
    <xf numFmtId="2" fontId="15" fillId="0" borderId="0" xfId="1" applyNumberFormat="1" applyFont="1" applyFill="1" applyBorder="1" applyAlignment="1">
      <alignment horizontal="center" vertical="center"/>
    </xf>
    <xf numFmtId="1" fontId="15" fillId="0" borderId="0" xfId="1" applyNumberFormat="1" applyFont="1" applyFill="1" applyBorder="1" applyAlignment="1">
      <alignment horizontal="center" vertical="center"/>
    </xf>
    <xf numFmtId="1" fontId="15" fillId="0" borderId="0" xfId="1" applyNumberFormat="1" applyFont="1" applyFill="1" applyBorder="1" applyAlignment="1">
      <alignment horizontal="left" vertical="center"/>
    </xf>
    <xf numFmtId="0" fontId="8" fillId="7" borderId="0" xfId="1" applyFont="1" applyFill="1" applyBorder="1" applyAlignment="1">
      <alignment horizontal="center" vertical="center"/>
    </xf>
    <xf numFmtId="0" fontId="15" fillId="2" borderId="0" xfId="1" applyFont="1" applyFill="1" applyBorder="1" applyAlignment="1">
      <alignment horizontal="left" vertical="center"/>
    </xf>
    <xf numFmtId="1" fontId="15" fillId="2" borderId="0" xfId="1" applyNumberFormat="1" applyFont="1" applyFill="1" applyBorder="1" applyAlignment="1">
      <alignment horizontal="right" vertical="center"/>
    </xf>
    <xf numFmtId="2" fontId="15" fillId="2" borderId="0" xfId="1" applyNumberFormat="1" applyFont="1" applyFill="1" applyBorder="1" applyAlignment="1">
      <alignment horizontal="left" vertical="center"/>
    </xf>
    <xf numFmtId="1" fontId="15" fillId="2" borderId="0" xfId="1" applyNumberFormat="1" applyFont="1" applyFill="1" applyBorder="1" applyAlignment="1">
      <alignment horizontal="left" vertical="center"/>
    </xf>
    <xf numFmtId="0" fontId="37" fillId="2" borderId="0" xfId="1" applyNumberFormat="1" applyFont="1" applyFill="1" applyBorder="1" applyAlignment="1">
      <alignment horizontal="left" vertical="center" wrapText="1"/>
    </xf>
    <xf numFmtId="0" fontId="36" fillId="13" borderId="0" xfId="1" applyNumberFormat="1" applyFont="1" applyFill="1" applyBorder="1" applyAlignment="1">
      <alignment horizontal="center" vertical="center"/>
    </xf>
    <xf numFmtId="1" fontId="15" fillId="2" borderId="0" xfId="1" applyNumberFormat="1" applyFont="1" applyFill="1" applyBorder="1" applyAlignment="1">
      <alignment horizontal="center" vertical="center" wrapText="1"/>
    </xf>
    <xf numFmtId="1" fontId="36" fillId="16" borderId="0" xfId="1" applyNumberFormat="1" applyFont="1" applyFill="1" applyBorder="1" applyAlignment="1">
      <alignment horizontal="center" vertical="center"/>
    </xf>
    <xf numFmtId="2" fontId="15" fillId="23" borderId="0" xfId="1" applyNumberFormat="1" applyFont="1" applyFill="1" applyBorder="1" applyAlignment="1">
      <alignment horizontal="center" vertical="center"/>
    </xf>
    <xf numFmtId="0" fontId="15" fillId="2" borderId="0" xfId="1" applyFont="1" applyFill="1" applyBorder="1" applyAlignment="1">
      <alignment horizontal="center" vertical="center"/>
    </xf>
    <xf numFmtId="1" fontId="15" fillId="2" borderId="0" xfId="1" applyNumberFormat="1" applyFont="1" applyFill="1" applyBorder="1" applyAlignment="1">
      <alignment horizontal="right" vertical="center" wrapText="1"/>
    </xf>
    <xf numFmtId="1" fontId="15" fillId="2" borderId="0" xfId="1" applyNumberFormat="1" applyFont="1" applyFill="1" applyBorder="1" applyAlignment="1">
      <alignment horizontal="left" vertical="center" wrapText="1"/>
    </xf>
    <xf numFmtId="49" fontId="15" fillId="2" borderId="0" xfId="1" applyNumberFormat="1" applyFont="1" applyFill="1" applyBorder="1" applyAlignment="1">
      <alignment horizontal="right" vertical="center" wrapText="1"/>
    </xf>
    <xf numFmtId="49" fontId="15" fillId="0" borderId="0" xfId="1" applyNumberFormat="1" applyFont="1" applyFill="1" applyBorder="1" applyAlignment="1">
      <alignment horizontal="left" vertical="center"/>
    </xf>
    <xf numFmtId="49" fontId="15" fillId="0" borderId="0" xfId="1" applyNumberFormat="1" applyFont="1" applyFill="1" applyBorder="1" applyAlignment="1">
      <alignment horizontal="center" vertical="center" wrapText="1"/>
    </xf>
    <xf numFmtId="0" fontId="20" fillId="2" borderId="0" xfId="1" applyFont="1" applyFill="1" applyBorder="1" applyAlignment="1">
      <alignment horizontal="left" vertical="center"/>
    </xf>
    <xf numFmtId="49" fontId="15" fillId="2" borderId="0" xfId="1" applyNumberFormat="1" applyFont="1" applyFill="1" applyBorder="1" applyAlignment="1">
      <alignment horizontal="center" vertical="center" wrapText="1"/>
    </xf>
    <xf numFmtId="49" fontId="63" fillId="2" borderId="0" xfId="1" applyNumberFormat="1" applyFont="1" applyFill="1" applyBorder="1" applyAlignment="1">
      <alignment vertical="center"/>
    </xf>
    <xf numFmtId="0" fontId="64" fillId="4" borderId="0" xfId="1" applyNumberFormat="1" applyFont="1" applyFill="1" applyBorder="1" applyAlignment="1">
      <alignment horizontal="center" vertical="center"/>
    </xf>
    <xf numFmtId="0" fontId="36" fillId="16" borderId="0" xfId="1" applyFont="1" applyFill="1" applyBorder="1" applyAlignment="1">
      <alignment horizontal="center" vertical="center"/>
    </xf>
    <xf numFmtId="0" fontId="15" fillId="33" borderId="0" xfId="1" applyNumberFormat="1" applyFont="1" applyFill="1" applyBorder="1" applyAlignment="1">
      <alignment horizontal="left" vertical="center" wrapText="1"/>
    </xf>
    <xf numFmtId="0" fontId="8" fillId="2" borderId="0" xfId="1" applyNumberFormat="1" applyFont="1" applyFill="1" applyBorder="1" applyAlignment="1">
      <alignment horizontal="center" vertical="center" wrapText="1"/>
    </xf>
    <xf numFmtId="0" fontId="15" fillId="4" borderId="0" xfId="1" applyFont="1" applyFill="1" applyBorder="1" applyAlignment="1">
      <alignment vertical="center"/>
    </xf>
    <xf numFmtId="1" fontId="8" fillId="2" borderId="0" xfId="1" applyNumberFormat="1" applyFont="1" applyFill="1" applyBorder="1" applyAlignment="1">
      <alignment horizontal="right" vertical="center"/>
    </xf>
    <xf numFmtId="2" fontId="20" fillId="2" borderId="0" xfId="1" applyNumberFormat="1" applyFont="1" applyFill="1" applyBorder="1" applyAlignment="1">
      <alignment horizontal="center" vertical="center"/>
    </xf>
    <xf numFmtId="0" fontId="15" fillId="2" borderId="0" xfId="1" applyFont="1" applyFill="1" applyBorder="1" applyAlignment="1">
      <alignment vertical="center"/>
    </xf>
    <xf numFmtId="1" fontId="8" fillId="2" borderId="0" xfId="1" applyNumberFormat="1" applyFont="1" applyFill="1" applyBorder="1" applyAlignment="1">
      <alignment horizontal="center" vertical="center"/>
    </xf>
    <xf numFmtId="1" fontId="8" fillId="2" borderId="19" xfId="1" applyNumberFormat="1" applyFont="1" applyFill="1" applyBorder="1" applyAlignment="1">
      <alignment horizontal="center" vertical="center" wrapText="1"/>
    </xf>
    <xf numFmtId="1" fontId="8" fillId="2" borderId="23" xfId="1" applyNumberFormat="1" applyFont="1" applyFill="1" applyBorder="1" applyAlignment="1">
      <alignment horizontal="center" vertical="center" wrapText="1"/>
    </xf>
    <xf numFmtId="0" fontId="15" fillId="2" borderId="0" xfId="1" applyNumberFormat="1" applyFont="1" applyFill="1" applyBorder="1" applyAlignment="1">
      <alignment vertical="center"/>
    </xf>
    <xf numFmtId="0" fontId="15" fillId="16" borderId="0" xfId="1" applyNumberFormat="1" applyFont="1" applyFill="1" applyBorder="1" applyAlignment="1">
      <alignment vertical="center" wrapText="1"/>
    </xf>
    <xf numFmtId="0" fontId="15" fillId="2" borderId="0" xfId="1" applyNumberFormat="1" applyFont="1" applyFill="1" applyBorder="1" applyAlignment="1">
      <alignment horizontal="right" vertical="center" wrapText="1"/>
    </xf>
    <xf numFmtId="0" fontId="15" fillId="0" borderId="0" xfId="1" applyFont="1" applyAlignment="1">
      <alignment vertical="center"/>
    </xf>
    <xf numFmtId="1" fontId="15" fillId="0" borderId="7" xfId="1" applyNumberFormat="1" applyFont="1" applyFill="1" applyBorder="1" applyAlignment="1">
      <alignment horizontal="left" vertical="center"/>
    </xf>
    <xf numFmtId="49" fontId="15" fillId="0" borderId="33" xfId="1" applyNumberFormat="1" applyFont="1" applyFill="1" applyBorder="1" applyAlignment="1">
      <alignment horizontal="center" vertical="center" wrapText="1"/>
    </xf>
    <xf numFmtId="49" fontId="15" fillId="2" borderId="33" xfId="1" applyNumberFormat="1" applyFont="1" applyFill="1" applyBorder="1" applyAlignment="1">
      <alignment horizontal="center" vertical="center" wrapText="1"/>
    </xf>
    <xf numFmtId="0" fontId="15" fillId="0" borderId="20" xfId="1" applyNumberFormat="1" applyFont="1" applyFill="1" applyBorder="1" applyAlignment="1">
      <alignment horizontal="left" vertical="center" wrapText="1"/>
    </xf>
    <xf numFmtId="0" fontId="39" fillId="2" borderId="0" xfId="1" applyFont="1" applyFill="1" applyAlignment="1">
      <alignment horizontal="center" vertical="center"/>
    </xf>
    <xf numFmtId="0" fontId="39" fillId="0" borderId="0" xfId="1" applyFont="1" applyAlignment="1">
      <alignment horizontal="left" vertical="center"/>
    </xf>
    <xf numFmtId="0" fontId="39" fillId="2" borderId="0" xfId="1" applyFont="1" applyFill="1" applyAlignment="1">
      <alignment horizontal="center" vertical="center" wrapText="1"/>
    </xf>
    <xf numFmtId="0" fontId="39" fillId="0" borderId="19" xfId="1" applyFont="1" applyBorder="1" applyAlignment="1">
      <alignment horizontal="left" vertical="center"/>
    </xf>
    <xf numFmtId="0" fontId="39" fillId="0" borderId="23" xfId="1" applyFont="1" applyBorder="1" applyAlignment="1">
      <alignment horizontal="left" vertical="center"/>
    </xf>
    <xf numFmtId="2" fontId="39" fillId="2" borderId="0" xfId="1" applyNumberFormat="1" applyFont="1" applyFill="1" applyAlignment="1">
      <alignment horizontal="right" vertical="center"/>
    </xf>
    <xf numFmtId="2" fontId="39" fillId="2" borderId="0" xfId="1" applyNumberFormat="1" applyFont="1" applyFill="1" applyAlignment="1">
      <alignment vertical="center"/>
    </xf>
    <xf numFmtId="2" fontId="39" fillId="2" borderId="0" xfId="1" applyNumberFormat="1" applyFont="1" applyFill="1" applyAlignment="1">
      <alignment horizontal="left" vertical="center" wrapText="1"/>
    </xf>
    <xf numFmtId="0" fontId="39" fillId="2" borderId="0" xfId="1" applyFont="1" applyFill="1" applyAlignment="1">
      <alignment horizontal="left" vertical="center"/>
    </xf>
    <xf numFmtId="49" fontId="39" fillId="2" borderId="0" xfId="1" applyNumberFormat="1" applyFont="1" applyFill="1" applyAlignment="1">
      <alignment horizontal="center" vertical="center"/>
    </xf>
    <xf numFmtId="0" fontId="39" fillId="0" borderId="0" xfId="1" applyNumberFormat="1" applyFont="1" applyAlignment="1">
      <alignment vertical="center"/>
    </xf>
    <xf numFmtId="0" fontId="39" fillId="0" borderId="0" xfId="1" applyNumberFormat="1" applyFont="1" applyAlignment="1">
      <alignment horizontal="left" vertical="center"/>
    </xf>
    <xf numFmtId="2" fontId="39" fillId="0" borderId="0" xfId="1" applyNumberFormat="1" applyFont="1" applyAlignment="1">
      <alignment horizontal="center" vertical="center"/>
    </xf>
    <xf numFmtId="1" fontId="39" fillId="0" borderId="0" xfId="1" applyNumberFormat="1" applyFont="1" applyAlignment="1">
      <alignment horizontal="right" vertical="center"/>
    </xf>
    <xf numFmtId="49" fontId="39" fillId="2" borderId="0" xfId="1" applyNumberFormat="1" applyFont="1" applyFill="1" applyAlignment="1">
      <alignment horizontal="left" vertical="center"/>
    </xf>
    <xf numFmtId="49" fontId="39" fillId="0" borderId="0" xfId="1" applyNumberFormat="1" applyFont="1" applyAlignment="1">
      <alignment vertical="center"/>
    </xf>
    <xf numFmtId="1" fontId="39" fillId="0" borderId="0" xfId="1" applyNumberFormat="1" applyFont="1" applyAlignment="1">
      <alignment horizontal="center" vertical="center" wrapText="1"/>
    </xf>
    <xf numFmtId="2" fontId="39" fillId="0" borderId="0" xfId="1" applyNumberFormat="1" applyFont="1" applyAlignment="1">
      <alignment vertical="center"/>
    </xf>
    <xf numFmtId="2" fontId="39" fillId="0" borderId="0" xfId="1" applyNumberFormat="1" applyFont="1" applyAlignment="1">
      <alignment horizontal="left" vertical="center"/>
    </xf>
    <xf numFmtId="49" fontId="39" fillId="0" borderId="0" xfId="1" applyNumberFormat="1" applyFont="1" applyAlignment="1">
      <alignment horizontal="right" vertical="center"/>
    </xf>
    <xf numFmtId="0" fontId="39" fillId="2" borderId="0" xfId="1" applyNumberFormat="1" applyFont="1" applyFill="1" applyAlignment="1">
      <alignment horizontal="center" vertical="center" wrapText="1"/>
    </xf>
    <xf numFmtId="0" fontId="39" fillId="0" borderId="0" xfId="1" applyFont="1" applyAlignment="1">
      <alignment vertical="center"/>
    </xf>
    <xf numFmtId="1" fontId="40" fillId="2" borderId="0" xfId="1" applyNumberFormat="1" applyFont="1" applyFill="1" applyAlignment="1">
      <alignment horizontal="center" vertical="center"/>
    </xf>
    <xf numFmtId="1" fontId="39" fillId="2" borderId="0" xfId="1" applyNumberFormat="1" applyFont="1" applyFill="1" applyAlignment="1">
      <alignment vertical="center"/>
    </xf>
    <xf numFmtId="1" fontId="40" fillId="2" borderId="0" xfId="1" applyNumberFormat="1" applyFont="1" applyFill="1" applyAlignment="1">
      <alignment vertical="center"/>
    </xf>
    <xf numFmtId="2" fontId="39" fillId="2" borderId="22" xfId="1" applyNumberFormat="1" applyFont="1" applyFill="1" applyBorder="1" applyAlignment="1">
      <alignment vertical="center"/>
    </xf>
    <xf numFmtId="2" fontId="39" fillId="2" borderId="10" xfId="1" applyNumberFormat="1" applyFont="1" applyFill="1" applyBorder="1" applyAlignment="1">
      <alignment horizontal="right" vertical="center"/>
    </xf>
    <xf numFmtId="2" fontId="40" fillId="0" borderId="0" xfId="1" applyNumberFormat="1" applyFont="1" applyAlignment="1">
      <alignment horizontal="center" vertical="center"/>
    </xf>
    <xf numFmtId="2" fontId="39" fillId="0" borderId="19" xfId="1" applyNumberFormat="1" applyFont="1" applyBorder="1" applyAlignment="1">
      <alignment horizontal="right" vertical="center"/>
    </xf>
    <xf numFmtId="0" fontId="39" fillId="0" borderId="0" xfId="1" applyFont="1" applyAlignment="1">
      <alignment horizontal="center" vertical="center"/>
    </xf>
    <xf numFmtId="0" fontId="39" fillId="0" borderId="0" xfId="1" applyFont="1" applyAlignment="1">
      <alignment vertical="center" wrapText="1"/>
    </xf>
    <xf numFmtId="0" fontId="39" fillId="6" borderId="0" xfId="1" applyFont="1" applyFill="1" applyAlignment="1">
      <alignment vertical="center"/>
    </xf>
    <xf numFmtId="0" fontId="39" fillId="16" borderId="9" xfId="1" applyFont="1" applyFill="1" applyBorder="1" applyAlignment="1">
      <alignment horizontal="center" vertical="center"/>
    </xf>
    <xf numFmtId="0" fontId="39" fillId="0" borderId="8" xfId="1" applyNumberFormat="1" applyFont="1" applyFill="1" applyBorder="1" applyAlignment="1">
      <alignment horizontal="center" vertical="center" wrapText="1"/>
    </xf>
    <xf numFmtId="0" fontId="40" fillId="2" borderId="1" xfId="1" applyNumberFormat="1" applyFont="1" applyFill="1" applyBorder="1" applyAlignment="1">
      <alignment horizontal="left" vertical="center" wrapText="1"/>
    </xf>
    <xf numFmtId="0" fontId="40" fillId="0" borderId="0" xfId="1" applyNumberFormat="1" applyFont="1" applyBorder="1" applyAlignment="1">
      <alignment horizontal="center" vertical="center"/>
    </xf>
    <xf numFmtId="0" fontId="69" fillId="36" borderId="8" xfId="1" applyFont="1" applyFill="1" applyBorder="1" applyAlignment="1">
      <alignment horizontal="center" vertical="center"/>
    </xf>
    <xf numFmtId="0" fontId="69" fillId="36" borderId="9" xfId="1" applyFont="1" applyFill="1" applyBorder="1" applyAlignment="1">
      <alignment horizontal="center" vertical="center"/>
    </xf>
    <xf numFmtId="0" fontId="69" fillId="36" borderId="1" xfId="1" applyFont="1" applyFill="1" applyBorder="1" applyAlignment="1">
      <alignment horizontal="center" vertical="center"/>
    </xf>
    <xf numFmtId="0" fontId="69" fillId="36" borderId="7" xfId="1" applyFont="1" applyFill="1" applyBorder="1" applyAlignment="1">
      <alignment horizontal="center" vertical="center"/>
    </xf>
    <xf numFmtId="0" fontId="40" fillId="0" borderId="17" xfId="1" applyNumberFormat="1" applyFont="1" applyBorder="1" applyAlignment="1">
      <alignment horizontal="center" wrapText="1"/>
    </xf>
    <xf numFmtId="2" fontId="40" fillId="0" borderId="0" xfId="1" applyNumberFormat="1" applyFont="1" applyAlignment="1">
      <alignment horizontal="center"/>
    </xf>
    <xf numFmtId="0" fontId="45" fillId="17" borderId="16" xfId="1" applyFont="1" applyFill="1" applyBorder="1" applyAlignment="1">
      <alignment horizontal="center" vertical="center" wrapText="1"/>
    </xf>
    <xf numFmtId="0" fontId="45" fillId="17" borderId="26" xfId="1" applyFont="1" applyFill="1" applyBorder="1" applyAlignment="1">
      <alignment horizontal="center" vertical="center" wrapText="1"/>
    </xf>
    <xf numFmtId="0" fontId="45" fillId="17" borderId="2" xfId="1" applyFont="1" applyFill="1" applyBorder="1" applyAlignment="1">
      <alignment horizontal="center" vertical="center" wrapText="1"/>
    </xf>
    <xf numFmtId="1" fontId="45" fillId="2" borderId="16" xfId="1" applyNumberFormat="1" applyFont="1" applyFill="1" applyBorder="1" applyAlignment="1">
      <alignment horizontal="center" vertical="center" wrapText="1"/>
    </xf>
    <xf numFmtId="1" fontId="45" fillId="2" borderId="26" xfId="1" applyNumberFormat="1" applyFont="1" applyFill="1" applyBorder="1" applyAlignment="1">
      <alignment horizontal="center" vertical="center" wrapText="1"/>
    </xf>
    <xf numFmtId="1" fontId="45" fillId="2" borderId="2" xfId="1" applyNumberFormat="1" applyFont="1" applyFill="1" applyBorder="1" applyAlignment="1">
      <alignment horizontal="center" vertical="center" wrapText="1"/>
    </xf>
    <xf numFmtId="0" fontId="44" fillId="0" borderId="1" xfId="1" applyFont="1" applyBorder="1" applyAlignment="1">
      <alignment horizontal="center" vertical="center" wrapText="1"/>
    </xf>
    <xf numFmtId="0" fontId="44" fillId="0" borderId="6" xfId="1" applyFont="1" applyBorder="1" applyAlignment="1">
      <alignment horizontal="center" vertical="center" wrapText="1"/>
    </xf>
    <xf numFmtId="0" fontId="44" fillId="0" borderId="17" xfId="1" applyFont="1" applyBorder="1" applyAlignment="1">
      <alignment horizontal="center" vertical="center" wrapText="1"/>
    </xf>
    <xf numFmtId="0" fontId="44" fillId="0" borderId="11" xfId="1" applyFont="1" applyBorder="1" applyAlignment="1">
      <alignment horizontal="center" vertical="center" wrapText="1"/>
    </xf>
    <xf numFmtId="0" fontId="44" fillId="0" borderId="3" xfId="1" applyFont="1" applyBorder="1" applyAlignment="1">
      <alignment horizontal="center" vertical="center" wrapText="1"/>
    </xf>
    <xf numFmtId="0" fontId="44" fillId="0" borderId="4" xfId="1" applyFont="1" applyBorder="1" applyAlignment="1">
      <alignment horizontal="center" vertical="center" wrapText="1"/>
    </xf>
    <xf numFmtId="0" fontId="44" fillId="0" borderId="5" xfId="1" applyFont="1" applyBorder="1" applyAlignment="1">
      <alignment horizontal="center" vertical="center" wrapText="1"/>
    </xf>
    <xf numFmtId="0" fontId="40" fillId="0" borderId="0" xfId="1" applyFont="1" applyBorder="1" applyAlignment="1">
      <alignment horizontal="center" wrapText="1"/>
    </xf>
    <xf numFmtId="0" fontId="39" fillId="0" borderId="0" xfId="1" applyNumberFormat="1" applyFont="1" applyBorder="1" applyAlignment="1">
      <alignment horizontal="left" wrapText="1"/>
    </xf>
    <xf numFmtId="0" fontId="39" fillId="0" borderId="0" xfId="1" applyNumberFormat="1" applyFont="1" applyBorder="1" applyAlignment="1">
      <alignment horizontal="left"/>
    </xf>
    <xf numFmtId="0" fontId="39" fillId="0" borderId="0" xfId="1" quotePrefix="1" applyNumberFormat="1" applyFont="1" applyBorder="1" applyAlignment="1">
      <alignment horizontal="left" wrapText="1"/>
    </xf>
    <xf numFmtId="0" fontId="45" fillId="0" borderId="16" xfId="1" applyFont="1" applyBorder="1" applyAlignment="1">
      <alignment horizontal="center" vertical="center" wrapText="1"/>
    </xf>
    <xf numFmtId="0" fontId="45" fillId="0" borderId="26" xfId="1" applyFont="1" applyBorder="1" applyAlignment="1">
      <alignment horizontal="center" vertical="center" wrapText="1"/>
    </xf>
    <xf numFmtId="0" fontId="45" fillId="0" borderId="2" xfId="1" applyFont="1" applyBorder="1" applyAlignment="1">
      <alignment horizontal="center" vertical="center" wrapText="1"/>
    </xf>
    <xf numFmtId="0" fontId="45" fillId="0" borderId="16" xfId="1" applyFont="1" applyBorder="1" applyAlignment="1">
      <alignment horizontal="center" vertical="center" textRotation="90" wrapText="1"/>
    </xf>
    <xf numFmtId="0" fontId="45" fillId="0" borderId="26" xfId="1" applyFont="1" applyBorder="1" applyAlignment="1">
      <alignment horizontal="center" vertical="center" textRotation="90" wrapText="1"/>
    </xf>
    <xf numFmtId="0" fontId="45" fillId="0" borderId="2" xfId="1" applyFont="1" applyBorder="1" applyAlignment="1">
      <alignment horizontal="center" vertical="center" textRotation="90" wrapText="1"/>
    </xf>
    <xf numFmtId="49" fontId="45" fillId="2" borderId="16" xfId="1" applyNumberFormat="1" applyFont="1" applyFill="1" applyBorder="1" applyAlignment="1">
      <alignment horizontal="center" vertical="center" wrapText="1"/>
    </xf>
    <xf numFmtId="49" fontId="45" fillId="2" borderId="26" xfId="1" applyNumberFormat="1" applyFont="1" applyFill="1" applyBorder="1" applyAlignment="1">
      <alignment horizontal="center" vertical="center" wrapText="1"/>
    </xf>
    <xf numFmtId="49" fontId="45" fillId="2" borderId="2" xfId="1" applyNumberFormat="1" applyFont="1" applyFill="1" applyBorder="1" applyAlignment="1">
      <alignment horizontal="center" vertical="center" wrapText="1"/>
    </xf>
    <xf numFmtId="0" fontId="45" fillId="0" borderId="17" xfId="1" applyFont="1" applyBorder="1" applyAlignment="1">
      <alignment horizontal="center" vertical="center" wrapText="1"/>
    </xf>
    <xf numFmtId="0" fontId="45" fillId="0" borderId="11" xfId="1" applyFont="1" applyBorder="1" applyAlignment="1">
      <alignment horizontal="center" vertical="center" wrapText="1"/>
    </xf>
    <xf numFmtId="0" fontId="45" fillId="0" borderId="0" xfId="1" applyFont="1" applyBorder="1" applyAlignment="1">
      <alignment horizontal="center" vertical="center" wrapText="1"/>
    </xf>
    <xf numFmtId="0" fontId="45" fillId="0" borderId="22" xfId="1" applyFont="1" applyBorder="1" applyAlignment="1">
      <alignment horizontal="center" vertical="center" wrapText="1"/>
    </xf>
    <xf numFmtId="0" fontId="45" fillId="0" borderId="4" xfId="1" applyFont="1" applyBorder="1" applyAlignment="1">
      <alignment horizontal="center" vertical="center" wrapText="1"/>
    </xf>
    <xf numFmtId="0" fontId="45" fillId="0" borderId="5" xfId="1" applyFont="1" applyBorder="1" applyAlignment="1">
      <alignment horizontal="center" vertical="center" wrapText="1"/>
    </xf>
    <xf numFmtId="0" fontId="45" fillId="0" borderId="6" xfId="1" applyFont="1" applyBorder="1" applyAlignment="1">
      <alignment horizontal="center" vertical="center" wrapText="1"/>
    </xf>
    <xf numFmtId="0" fontId="45" fillId="0" borderId="10" xfId="1" applyFont="1" applyBorder="1" applyAlignment="1">
      <alignment horizontal="center" vertical="center" wrapText="1"/>
    </xf>
    <xf numFmtId="0" fontId="45" fillId="0" borderId="3" xfId="1" applyFont="1" applyBorder="1" applyAlignment="1">
      <alignment horizontal="center" vertical="center" wrapText="1"/>
    </xf>
    <xf numFmtId="0" fontId="45" fillId="0" borderId="7" xfId="1" applyFont="1" applyBorder="1" applyAlignment="1">
      <alignment horizontal="center" vertical="center" wrapText="1"/>
    </xf>
    <xf numFmtId="0" fontId="45" fillId="0" borderId="8" xfId="1" applyFont="1" applyBorder="1" applyAlignment="1">
      <alignment horizontal="center" vertical="center" wrapText="1"/>
    </xf>
    <xf numFmtId="0" fontId="45" fillId="0" borderId="9" xfId="1" applyFont="1" applyBorder="1" applyAlignment="1">
      <alignment horizontal="center" vertical="center" wrapText="1"/>
    </xf>
    <xf numFmtId="0" fontId="45" fillId="16" borderId="16" xfId="1" applyFont="1" applyFill="1" applyBorder="1" applyAlignment="1">
      <alignment horizontal="center" vertical="center" wrapText="1"/>
    </xf>
    <xf numFmtId="0" fontId="45" fillId="16" borderId="26" xfId="1" applyFont="1" applyFill="1" applyBorder="1" applyAlignment="1">
      <alignment horizontal="center" vertical="center" wrapText="1"/>
    </xf>
    <xf numFmtId="0" fontId="45" fillId="16" borderId="2" xfId="1" applyFont="1" applyFill="1" applyBorder="1" applyAlignment="1">
      <alignment horizontal="center" vertical="center" wrapText="1"/>
    </xf>
    <xf numFmtId="0" fontId="53" fillId="0" borderId="0" xfId="1" applyFont="1" applyAlignment="1">
      <alignment horizontal="center"/>
    </xf>
    <xf numFmtId="0" fontId="39" fillId="0" borderId="0" xfId="1" applyFont="1" applyAlignment="1">
      <alignment horizontal="center"/>
    </xf>
    <xf numFmtId="0" fontId="40" fillId="0" borderId="0" xfId="1" applyFont="1" applyAlignment="1">
      <alignment horizontal="center"/>
    </xf>
    <xf numFmtId="49" fontId="40" fillId="2" borderId="0" xfId="1" applyNumberFormat="1" applyFont="1" applyFill="1" applyBorder="1" applyAlignment="1">
      <alignment horizontal="center" vertical="center" wrapText="1"/>
    </xf>
    <xf numFmtId="0" fontId="72" fillId="0" borderId="1" xfId="1" applyFont="1" applyBorder="1" applyAlignment="1">
      <alignment horizontal="center" vertical="center" wrapText="1"/>
    </xf>
    <xf numFmtId="0" fontId="40" fillId="0" borderId="0" xfId="1" applyFont="1" applyAlignment="1">
      <alignment horizontal="center" wrapText="1"/>
    </xf>
    <xf numFmtId="0" fontId="72" fillId="0" borderId="16" xfId="1" applyFont="1" applyBorder="1" applyAlignment="1">
      <alignment horizontal="center" vertical="center" wrapText="1"/>
    </xf>
    <xf numFmtId="0" fontId="72" fillId="0" borderId="26" xfId="1" applyFont="1" applyBorder="1" applyAlignment="1">
      <alignment horizontal="center" vertical="center" wrapText="1"/>
    </xf>
    <xf numFmtId="0" fontId="72" fillId="0" borderId="2" xfId="1" applyFont="1" applyBorder="1" applyAlignment="1">
      <alignment horizontal="center" vertical="center" wrapText="1"/>
    </xf>
    <xf numFmtId="0" fontId="71" fillId="0" borderId="7" xfId="1" applyFont="1" applyBorder="1" applyAlignment="1">
      <alignment horizontal="center" vertical="center" wrapText="1"/>
    </xf>
    <xf numFmtId="0" fontId="71" fillId="0" borderId="8" xfId="1" applyFont="1" applyBorder="1" applyAlignment="1">
      <alignment horizontal="center" vertical="center" wrapText="1"/>
    </xf>
    <xf numFmtId="0" fontId="71" fillId="0" borderId="1" xfId="1" applyFont="1" applyBorder="1" applyAlignment="1">
      <alignment horizontal="center" vertical="center" wrapText="1"/>
    </xf>
    <xf numFmtId="0" fontId="71" fillId="0" borderId="6" xfId="1" applyFont="1" applyBorder="1" applyAlignment="1">
      <alignment horizontal="center" vertical="center" wrapText="1"/>
    </xf>
    <xf numFmtId="0" fontId="71" fillId="0" borderId="17" xfId="1" applyFont="1" applyBorder="1" applyAlignment="1">
      <alignment horizontal="center" vertical="center" wrapText="1"/>
    </xf>
    <xf numFmtId="0" fontId="71" fillId="0" borderId="11" xfId="1" applyFont="1" applyBorder="1" applyAlignment="1">
      <alignment horizontal="center" vertical="center" wrapText="1"/>
    </xf>
    <xf numFmtId="0" fontId="71" fillId="0" borderId="3" xfId="1" applyFont="1" applyBorder="1" applyAlignment="1">
      <alignment horizontal="center" vertical="center" wrapText="1"/>
    </xf>
    <xf numFmtId="0" fontId="71" fillId="0" borderId="4" xfId="1" applyFont="1" applyBorder="1" applyAlignment="1">
      <alignment horizontal="center" vertical="center" wrapText="1"/>
    </xf>
    <xf numFmtId="0" fontId="71" fillId="0" borderId="5" xfId="1" applyFont="1" applyBorder="1" applyAlignment="1">
      <alignment horizontal="center" vertical="center" wrapText="1"/>
    </xf>
    <xf numFmtId="0" fontId="72" fillId="0" borderId="6" xfId="1" applyFont="1" applyBorder="1" applyAlignment="1">
      <alignment horizontal="center" vertical="center" wrapText="1"/>
    </xf>
    <xf numFmtId="0" fontId="72" fillId="0" borderId="11" xfId="1" applyFont="1" applyBorder="1" applyAlignment="1">
      <alignment horizontal="center" vertical="center" wrapText="1"/>
    </xf>
    <xf numFmtId="0" fontId="72" fillId="0" borderId="3" xfId="1" applyFont="1" applyBorder="1" applyAlignment="1">
      <alignment horizontal="center" vertical="center" wrapText="1"/>
    </xf>
    <xf numFmtId="0" fontId="72" fillId="0" borderId="5" xfId="1" applyFont="1" applyBorder="1" applyAlignment="1">
      <alignment horizontal="center" vertical="center" wrapText="1"/>
    </xf>
    <xf numFmtId="0" fontId="72" fillId="0" borderId="9" xfId="1" applyFont="1" applyBorder="1" applyAlignment="1">
      <alignment horizontal="center" vertical="center" wrapText="1"/>
    </xf>
    <xf numFmtId="0" fontId="40" fillId="0" borderId="0" xfId="1" applyNumberFormat="1" applyFont="1" applyBorder="1" applyAlignment="1">
      <alignment horizontal="center" wrapText="1"/>
    </xf>
    <xf numFmtId="2" fontId="40" fillId="0" borderId="0" xfId="1" applyNumberFormat="1" applyFont="1" applyAlignment="1">
      <alignment horizontal="center" vertical="top"/>
    </xf>
    <xf numFmtId="0" fontId="71" fillId="0" borderId="0" xfId="1" quotePrefix="1" applyFont="1" applyBorder="1" applyAlignment="1">
      <alignment horizontal="left" vertical="center" wrapText="1"/>
    </xf>
    <xf numFmtId="0" fontId="72" fillId="2" borderId="0" xfId="1" applyFont="1" applyFill="1" applyBorder="1" applyAlignment="1">
      <alignment horizontal="right" wrapText="1"/>
    </xf>
    <xf numFmtId="0" fontId="72" fillId="2" borderId="0" xfId="1" applyFont="1" applyFill="1" applyBorder="1" applyAlignment="1">
      <alignment horizontal="left" wrapText="1"/>
    </xf>
    <xf numFmtId="0" fontId="57" fillId="0" borderId="0" xfId="1" applyFont="1" applyAlignment="1">
      <alignment horizontal="center" vertical="center"/>
    </xf>
    <xf numFmtId="1" fontId="39" fillId="0" borderId="0" xfId="1" applyNumberFormat="1" applyFont="1" applyBorder="1" applyAlignment="1">
      <alignment horizontal="center" vertical="center" wrapText="1"/>
    </xf>
    <xf numFmtId="0" fontId="59" fillId="2" borderId="0" xfId="1" applyNumberFormat="1" applyFont="1" applyFill="1" applyBorder="1" applyAlignment="1">
      <alignment vertical="center" wrapText="1"/>
    </xf>
    <xf numFmtId="0" fontId="78" fillId="2" borderId="0" xfId="1" applyNumberFormat="1" applyFont="1" applyFill="1" applyBorder="1" applyAlignment="1">
      <alignment horizontal="center" vertical="center" wrapText="1"/>
    </xf>
  </cellXfs>
  <cellStyles count="2">
    <cellStyle name="Normal" xfId="0" builtinId="0"/>
    <cellStyle name="Normal 2" xfId="1"/>
  </cellStyles>
  <dxfs count="1189">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0000"/>
      </font>
      <fill>
        <patternFill>
          <bgColor rgb="FF00B0F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54"/>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17"/>
      </font>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theme="0"/>
      </font>
    </dxf>
    <dxf>
      <font>
        <color auto="1"/>
      </font>
      <fill>
        <patternFill>
          <bgColor theme="9"/>
        </patternFill>
      </fill>
    </dxf>
    <dxf>
      <font>
        <condense val="0"/>
        <extend val="0"/>
        <color indexed="9"/>
      </font>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17"/>
      </font>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FFCCFF"/>
      <color rgb="FF000000"/>
      <color rgb="FF990000"/>
      <color rgb="FFD0FEDC"/>
      <color rgb="FF800000"/>
      <color rgb="FFFAF2B6"/>
      <color rgb="FFFFFFFF"/>
      <color rgb="FFE5FEFF"/>
      <color rgb="FFD3FD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3812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37</xdr:col>
      <xdr:colOff>165652</xdr:colOff>
      <xdr:row>2</xdr:row>
      <xdr:rowOff>24849</xdr:rowOff>
    </xdr:to>
    <xdr:sp macro="" textlink="">
      <xdr:nvSpPr>
        <xdr:cNvPr id="3" name="Line 4"/>
        <xdr:cNvSpPr>
          <a:spLocks noChangeShapeType="1"/>
        </xdr:cNvSpPr>
      </xdr:nvSpPr>
      <xdr:spPr bwMode="auto">
        <a:xfrm flipV="1">
          <a:off x="4933951" y="424899"/>
          <a:ext cx="145152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927228</xdr:colOff>
      <xdr:row>2</xdr:row>
      <xdr:rowOff>4967</xdr:rowOff>
    </xdr:from>
    <xdr:to>
      <xdr:col>18</xdr:col>
      <xdr:colOff>356163</xdr:colOff>
      <xdr:row>2</xdr:row>
      <xdr:rowOff>4967</xdr:rowOff>
    </xdr:to>
    <xdr:cxnSp macro="">
      <xdr:nvCxnSpPr>
        <xdr:cNvPr id="4" name="Straight Connector 3"/>
        <xdr:cNvCxnSpPr/>
      </xdr:nvCxnSpPr>
      <xdr:spPr>
        <a:xfrm>
          <a:off x="1165353" y="405017"/>
          <a:ext cx="10672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25976</xdr:colOff>
      <xdr:row>1</xdr:row>
      <xdr:rowOff>192497</xdr:rowOff>
    </xdr:from>
    <xdr:to>
      <xdr:col>18</xdr:col>
      <xdr:colOff>284950</xdr:colOff>
      <xdr:row>1</xdr:row>
      <xdr:rowOff>192497</xdr:rowOff>
    </xdr:to>
    <xdr:cxnSp macro="">
      <xdr:nvCxnSpPr>
        <xdr:cNvPr id="3" name="Straight Connector 2"/>
        <xdr:cNvCxnSpPr/>
      </xdr:nvCxnSpPr>
      <xdr:spPr>
        <a:xfrm>
          <a:off x="1593271" y="417633"/>
          <a:ext cx="6399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25977</xdr:colOff>
      <xdr:row>1</xdr:row>
      <xdr:rowOff>190500</xdr:rowOff>
    </xdr:from>
    <xdr:to>
      <xdr:col>71</xdr:col>
      <xdr:colOff>25977</xdr:colOff>
      <xdr:row>1</xdr:row>
      <xdr:rowOff>190500</xdr:rowOff>
    </xdr:to>
    <xdr:cxnSp macro="">
      <xdr:nvCxnSpPr>
        <xdr:cNvPr id="5" name="Straight Connector 4"/>
        <xdr:cNvCxnSpPr/>
      </xdr:nvCxnSpPr>
      <xdr:spPr>
        <a:xfrm>
          <a:off x="6944591" y="415636"/>
          <a:ext cx="13508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7842;NG%20L&#431;&#416;NG/$$$$$%20-%20%25%25%25%25/@@@@.%20Luong%20+%20PCTN%20NG/1.%20N&#226;ng%20(Lg%20+%20PC%20NG)/Luong,%20PCTN%202018/L&#432;&#417;ng+PC%20th&#225;ng%206.2018/@2.%20Lg%20+%20PC%206.2018.%20chuan%20B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7842;NG%20L&#431;&#416;NG,%20%25%20PCNG\$$$$$%20-%20%25%25%25%25\@@@@.%20Luong%20+%20PCTN%20NG\1.%20N&#226;ng%20(Lg%20+%20PC%20NG)\Luong,%20PCTN%202020\L&#432;&#417;ng+PC%20th&#225;ng%2012.2020\@.%20Lg%20+%20PC%20den%20T12%20-%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7842;NG%20L&#431;&#416;NG/$$$$$%20-%20%25%25%25%25/@@@@.%20Luong%20+%20PCTN%20NG/1.%20N&#226;ng%20(Lg%20+%20PC%20NG)/Luong,%20PCTN%202018/L&#432;&#417;ng+PC%20th&#225;ng%205.2018/@.%20Lg%20+%20PC%20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New "/>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ao1 (2)"/>
      <sheetName val="$-BB1 (2)"/>
      <sheetName val="4. GiaoQĐ-$"/>
      <sheetName val="$-Ds in QĐ"/>
      <sheetName val="$-BB1"/>
      <sheetName val="$-BC1"/>
      <sheetName val="$-TBao1"/>
      <sheetName val="@.DL-New "/>
      <sheetName val="%-BCcao2"/>
      <sheetName val="%-BBan2"/>
      <sheetName val="%-Ds QĐ2"/>
      <sheetName val="DsQĐ PC nhà giáo"/>
      <sheetName val="Giao QĐ - %"/>
      <sheetName val="Ds Huu+Thoi.."/>
      <sheetName val="TH số liệu"/>
      <sheetName val="- DLiêu Gốc -"/>
      <sheetName val="Sheet2"/>
      <sheetName val="CƠ CẤU"/>
      <sheetName val="@.DL-New"/>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Trưởng khoa</v>
          </cell>
          <cell r="D78">
            <v>0.8</v>
          </cell>
        </row>
        <row r="79">
          <cell r="C79" t="str">
            <v>Nguyên Phó Trưởng khoa</v>
          </cell>
          <cell r="D79">
            <v>0.8</v>
          </cell>
        </row>
        <row r="80">
          <cell r="C80" t="str">
            <v>Phó Trưởng ban</v>
          </cell>
          <cell r="D80">
            <v>0.8</v>
          </cell>
        </row>
        <row r="81">
          <cell r="C81" t="str">
            <v>Phó Trưởng ban (PT)</v>
          </cell>
          <cell r="D81">
            <v>0.8</v>
          </cell>
        </row>
        <row r="82">
          <cell r="C82" t="str">
            <v>Nguyên Phó Trưởng ban</v>
          </cell>
          <cell r="D82">
            <v>0.8</v>
          </cell>
        </row>
        <row r="83">
          <cell r="C83" t="str">
            <v>Phó Tổng biên tập</v>
          </cell>
          <cell r="D83">
            <v>0.8</v>
          </cell>
        </row>
        <row r="84">
          <cell r="C84" t="str">
            <v>Phó Viện trưởng</v>
          </cell>
          <cell r="D84">
            <v>0.8</v>
          </cell>
        </row>
        <row r="85">
          <cell r="C85" t="str">
            <v>Nguyên Phó Viện trưởng</v>
          </cell>
          <cell r="D85">
            <v>0.8</v>
          </cell>
        </row>
        <row r="86">
          <cell r="C86" t="str">
            <v>Phó Giám đốc (cấp vụ)</v>
          </cell>
          <cell r="D86">
            <v>0.8</v>
          </cell>
        </row>
        <row r="87">
          <cell r="C87" t="str">
            <v>Phó Chánh Văn phòng</v>
          </cell>
          <cell r="D87">
            <v>0.8</v>
          </cell>
        </row>
        <row r="88">
          <cell r="C88" t="str">
            <v>Giám đốc (cấp phòng)</v>
          </cell>
          <cell r="D88">
            <v>0.6</v>
          </cell>
        </row>
        <row r="89">
          <cell r="C89" t="str">
            <v>Chánh Văn phòng (cấp phòng)</v>
          </cell>
          <cell r="D89">
            <v>0.6</v>
          </cell>
        </row>
        <row r="90">
          <cell r="C90" t="str">
            <v>Trưởng khoa (cấp phòng)</v>
          </cell>
          <cell r="D90">
            <v>0.6</v>
          </cell>
        </row>
        <row r="91">
          <cell r="C91" t="str">
            <v>Trưởng phòng</v>
          </cell>
          <cell r="D91">
            <v>0.6</v>
          </cell>
        </row>
        <row r="92">
          <cell r="C92" t="str">
            <v>Q. Trưởng phòng</v>
          </cell>
          <cell r="D92">
            <v>0.6</v>
          </cell>
        </row>
        <row r="93">
          <cell r="C93" t="str">
            <v>Trưởng bộ môn</v>
          </cell>
          <cell r="D93">
            <v>0.6</v>
          </cell>
        </row>
        <row r="94">
          <cell r="C94" t="str">
            <v>Nguyên Trưởng bộ môn</v>
          </cell>
          <cell r="D94">
            <v>0.6</v>
          </cell>
        </row>
        <row r="95">
          <cell r="C95" t="str">
            <v>Trưởng ban (cấp phòng)</v>
          </cell>
          <cell r="D95">
            <v>0.6</v>
          </cell>
        </row>
        <row r="96">
          <cell r="C96" t="str">
            <v>Chủ nhiệm (cấp phòng)</v>
          </cell>
          <cell r="D96">
            <v>0.6</v>
          </cell>
        </row>
        <row r="97">
          <cell r="C97" t="str">
            <v>Đội Trưởng (cấp phòng)</v>
          </cell>
          <cell r="D97">
            <v>0.6</v>
          </cell>
        </row>
        <row r="98">
          <cell r="C98" t="str">
            <v>Phó Trưởng phòng</v>
          </cell>
          <cell r="D98">
            <v>0.4</v>
          </cell>
        </row>
        <row r="99">
          <cell r="C99" t="str">
            <v>Phó Trưởng phòng (PT)</v>
          </cell>
          <cell r="D99">
            <v>0.4</v>
          </cell>
        </row>
        <row r="100">
          <cell r="C100" t="str">
            <v>Phó Trưởng bộ môn</v>
          </cell>
          <cell r="D100">
            <v>0.4</v>
          </cell>
        </row>
        <row r="101">
          <cell r="C101" t="str">
            <v>Nguyên Phó Trưởng bộ môn</v>
          </cell>
          <cell r="D101">
            <v>0.4</v>
          </cell>
        </row>
        <row r="102">
          <cell r="C102" t="str">
            <v>Phó Trưởng ban (cấp phòng)</v>
          </cell>
          <cell r="D102">
            <v>0.4</v>
          </cell>
        </row>
        <row r="103">
          <cell r="C103" t="str">
            <v>Phó Trưởng ban (cấp phòng)</v>
          </cell>
          <cell r="D103">
            <v>0.4</v>
          </cell>
        </row>
        <row r="104">
          <cell r="C104" t="str">
            <v>Phó Chủ nhiệm (cấp phòng)</v>
          </cell>
          <cell r="D104">
            <v>0.4</v>
          </cell>
        </row>
        <row r="105">
          <cell r="C105" t="str">
            <v>Phó Giám đốc (cấp phòng)</v>
          </cell>
          <cell r="D105">
            <v>0.4</v>
          </cell>
        </row>
        <row r="106">
          <cell r="C106" t="str">
            <v>Phó Chánh Văn phòng (cấp phòng)</v>
          </cell>
          <cell r="D106">
            <v>0.4</v>
          </cell>
        </row>
        <row r="107">
          <cell r="C107" t="str">
            <v>Đội Phó (cấp phòng)</v>
          </cell>
          <cell r="D107">
            <v>0.4</v>
          </cell>
        </row>
        <row r="115">
          <cell r="C115" t="str">
            <v>Bác sĩ cao cấp</v>
          </cell>
          <cell r="D115" t="str">
            <v>16.116</v>
          </cell>
          <cell r="E115">
            <v>6.2</v>
          </cell>
          <cell r="F115">
            <v>0.36</v>
          </cell>
          <cell r="G115" t="str">
            <v>A3</v>
          </cell>
          <cell r="H115" t="str">
            <v>A3.1</v>
          </cell>
        </row>
        <row r="116">
          <cell r="C116" t="str">
            <v>Bác sĩ chính</v>
          </cell>
          <cell r="D116" t="str">
            <v xml:space="preserve"> </v>
          </cell>
          <cell r="E116">
            <v>4.4000000000000004</v>
          </cell>
          <cell r="F116">
            <v>0.34</v>
          </cell>
          <cell r="G116" t="str">
            <v>A2</v>
          </cell>
          <cell r="H116" t="str">
            <v>A2.1</v>
          </cell>
        </row>
        <row r="117">
          <cell r="C117" t="str">
            <v>Bác sĩ</v>
          </cell>
          <cell r="D117" t="str">
            <v>16.118</v>
          </cell>
          <cell r="E117">
            <v>2.34</v>
          </cell>
          <cell r="F117">
            <v>0.33</v>
          </cell>
          <cell r="G117" t="str">
            <v>A1</v>
          </cell>
          <cell r="H117" t="str">
            <v>- - -</v>
          </cell>
        </row>
        <row r="118">
          <cell r="C118" t="str">
            <v>Y sĩ</v>
          </cell>
          <cell r="D118" t="str">
            <v>16.119</v>
          </cell>
          <cell r="E118">
            <v>1.86</v>
          </cell>
          <cell r="F118">
            <v>0.2</v>
          </cell>
          <cell r="G118" t="str">
            <v>B</v>
          </cell>
          <cell r="H118" t="str">
            <v>- - -</v>
          </cell>
        </row>
        <row r="119">
          <cell r="C119" t="str">
            <v>Biên tập viên cao cấp</v>
          </cell>
          <cell r="D119" t="str">
            <v>17.139</v>
          </cell>
          <cell r="E119">
            <v>6.2</v>
          </cell>
          <cell r="F119">
            <v>0.36</v>
          </cell>
          <cell r="G119" t="str">
            <v>A3</v>
          </cell>
          <cell r="H119" t="str">
            <v>A3.1</v>
          </cell>
        </row>
        <row r="120">
          <cell r="C120" t="str">
            <v>Biên tập viên</v>
          </cell>
          <cell r="D120" t="str">
            <v>17.141</v>
          </cell>
          <cell r="E120">
            <v>2.34</v>
          </cell>
          <cell r="F120">
            <v>0.33</v>
          </cell>
          <cell r="G120" t="str">
            <v>A1</v>
          </cell>
          <cell r="H120" t="str">
            <v>- - -</v>
          </cell>
        </row>
        <row r="121">
          <cell r="C121" t="str">
            <v>Phóng viên cao cấp</v>
          </cell>
          <cell r="D121" t="str">
            <v>17.142</v>
          </cell>
          <cell r="E121">
            <v>6.2</v>
          </cell>
          <cell r="F121">
            <v>0.36</v>
          </cell>
          <cell r="G121" t="str">
            <v>A3</v>
          </cell>
          <cell r="H121" t="str">
            <v>A3.1</v>
          </cell>
        </row>
        <row r="122">
          <cell r="C122" t="str">
            <v>Phóng viên</v>
          </cell>
          <cell r="D122" t="str">
            <v>17.144</v>
          </cell>
          <cell r="E122">
            <v>2.34</v>
          </cell>
          <cell r="F122">
            <v>0.33</v>
          </cell>
          <cell r="G122" t="str">
            <v>A1</v>
          </cell>
          <cell r="H122" t="str">
            <v>- - -</v>
          </cell>
        </row>
        <row r="124">
          <cell r="C124" t="str">
            <v>Thư viện viên chính</v>
          </cell>
          <cell r="D124" t="str">
            <v>17.169</v>
          </cell>
          <cell r="E124">
            <v>4</v>
          </cell>
          <cell r="F124">
            <v>0.34</v>
          </cell>
          <cell r="G124" t="str">
            <v>A2</v>
          </cell>
          <cell r="H124" t="str">
            <v>A2.2</v>
          </cell>
        </row>
        <row r="125">
          <cell r="C125" t="str">
            <v>Thư viện viên</v>
          </cell>
          <cell r="D125" t="str">
            <v>17.170</v>
          </cell>
          <cell r="E125">
            <v>2.34</v>
          </cell>
          <cell r="F125">
            <v>0.33</v>
          </cell>
          <cell r="G125" t="str">
            <v>A1</v>
          </cell>
          <cell r="H125" t="str">
            <v>- - -</v>
          </cell>
        </row>
        <row r="126">
          <cell r="C126" t="str">
            <v>Thư viện viên trung cấp</v>
          </cell>
          <cell r="D126" t="str">
            <v>17.171</v>
          </cell>
          <cell r="E126">
            <v>1.86</v>
          </cell>
          <cell r="F126">
            <v>0.2</v>
          </cell>
          <cell r="G126" t="str">
            <v>B</v>
          </cell>
          <cell r="H126" t="str">
            <v>- - -</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80"/>
  <sheetViews>
    <sheetView view="pageBreakPreview" topLeftCell="B1" zoomScale="115" zoomScaleNormal="100" zoomScaleSheetLayoutView="115" workbookViewId="0">
      <selection activeCell="B6" sqref="B6:AY6"/>
    </sheetView>
  </sheetViews>
  <sheetFormatPr defaultRowHeight="12.75" x14ac:dyDescent="0.2"/>
  <cols>
    <col min="1" max="1" width="5.7109375" style="680" hidden="1" customWidth="1"/>
    <col min="2" max="2" width="3.5703125" style="2362" customWidth="1"/>
    <col min="3" max="3" width="5" style="680" hidden="1" customWidth="1"/>
    <col min="4" max="4" width="7.140625" style="2363" hidden="1" customWidth="1"/>
    <col min="5" max="5" width="16.42578125" style="2364" customWidth="1"/>
    <col min="6" max="6" width="3.42578125" style="1696" customWidth="1"/>
    <col min="7" max="7" width="5.5703125" style="598" hidden="1" customWidth="1"/>
    <col min="8" max="8" width="0.85546875" style="598" hidden="1" customWidth="1"/>
    <col min="9" max="9" width="4.5703125" style="598" hidden="1" customWidth="1"/>
    <col min="10" max="10" width="1.5703125" style="717" hidden="1" customWidth="1"/>
    <col min="11" max="12" width="7.140625" style="717" hidden="1" customWidth="1"/>
    <col min="13" max="13" width="4.7109375" style="717" customWidth="1"/>
    <col min="14" max="14" width="7.140625" style="717" hidden="1" customWidth="1"/>
    <col min="15" max="16" width="3" style="717" hidden="1" customWidth="1"/>
    <col min="17" max="17" width="3" style="2365" hidden="1" customWidth="1"/>
    <col min="18" max="18" width="18.140625" style="2366" hidden="1" customWidth="1"/>
    <col min="19" max="19" width="23.140625" style="2367" customWidth="1"/>
    <col min="20" max="20" width="2.28515625" style="2367" hidden="1" customWidth="1"/>
    <col min="21" max="21" width="10.7109375" style="2368" hidden="1" customWidth="1"/>
    <col min="22" max="22" width="1.140625" style="2369" hidden="1" customWidth="1"/>
    <col min="23" max="23" width="11.140625" style="640" customWidth="1"/>
    <col min="24" max="24" width="8.7109375" style="2370" customWidth="1"/>
    <col min="25" max="25" width="8" style="2371" hidden="1" customWidth="1"/>
    <col min="26" max="26" width="7.85546875" style="2371" hidden="1" customWidth="1"/>
    <col min="27" max="27" width="3.28515625" style="2372" hidden="1" customWidth="1"/>
    <col min="28" max="28" width="2.85546875" style="2372" customWidth="1"/>
    <col min="29" max="29" width="1.7109375" style="2373" customWidth="1"/>
    <col min="30" max="30" width="2.5703125" style="2374" customWidth="1"/>
    <col min="31" max="31" width="4.140625" style="2375" customWidth="1"/>
    <col min="32" max="32" width="4" style="2375" customWidth="1"/>
    <col min="33" max="33" width="2.28515625" style="2375" customWidth="1"/>
    <col min="34" max="34" width="0.42578125" style="2374" hidden="1" customWidth="1"/>
    <col min="35" max="35" width="0.140625" style="2376" customWidth="1"/>
    <col min="36" max="36" width="3.140625" style="2377" customWidth="1"/>
    <col min="37" max="37" width="1.28515625" style="2373" customWidth="1"/>
    <col min="38" max="38" width="5.42578125" style="2378" customWidth="1"/>
    <col min="39" max="39" width="5.140625" style="2378" customWidth="1"/>
    <col min="40" max="40" width="9" style="2378" customWidth="1"/>
    <col min="41" max="41" width="2.85546875" style="2379" customWidth="1"/>
    <col min="42" max="42" width="1.5703125" style="2373" customWidth="1"/>
    <col min="43" max="43" width="2.5703125" style="2380" customWidth="1"/>
    <col min="44" max="44" width="5.28515625" style="2381" customWidth="1"/>
    <col min="45" max="45" width="2" style="2381" customWidth="1"/>
    <col min="46" max="46" width="2.85546875" style="2374" hidden="1" customWidth="1"/>
    <col min="47" max="47" width="0.85546875" style="2376" hidden="1" customWidth="1"/>
    <col min="48" max="48" width="2.7109375" style="2377" customWidth="1"/>
    <col min="49" max="49" width="1" style="2373" customWidth="1"/>
    <col min="50" max="50" width="4.5703125" style="2378" customWidth="1"/>
    <col min="51" max="51" width="6.7109375" style="2382" customWidth="1"/>
    <col min="52" max="52" width="9.140625" style="2377" customWidth="1"/>
    <col min="53" max="53" width="5.140625" style="2383" customWidth="1"/>
    <col min="54" max="54" width="10.85546875" style="2372" customWidth="1"/>
    <col min="55" max="55" width="4.7109375" style="2384" customWidth="1"/>
    <col min="56" max="56" width="3.42578125" style="2374" customWidth="1"/>
    <col min="57" max="57" width="5.85546875" style="2385" customWidth="1"/>
    <col min="58" max="58" width="4.42578125" style="2379" customWidth="1"/>
    <col min="59" max="59" width="4.140625" style="2374" customWidth="1"/>
    <col min="60" max="60" width="4.7109375" style="2379" customWidth="1"/>
    <col min="61" max="61" width="7.5703125" style="2385" customWidth="1"/>
    <col min="62" max="62" width="10" style="2374" customWidth="1"/>
    <col min="63" max="63" width="8.7109375" style="2386" customWidth="1"/>
    <col min="64" max="64" width="4.7109375" style="2387" customWidth="1"/>
    <col min="65" max="65" width="4.5703125" style="2388" customWidth="1"/>
    <col min="66" max="66" width="2.42578125" style="2383" customWidth="1"/>
    <col min="67" max="67" width="7" style="2383" customWidth="1"/>
    <col min="68" max="68" width="3" style="2383" customWidth="1"/>
    <col min="69" max="69" width="4.7109375" style="2383" customWidth="1"/>
    <col min="70" max="70" width="5.5703125" style="2389" customWidth="1"/>
    <col min="71" max="71" width="0.5703125" style="2390" customWidth="1"/>
    <col min="72" max="72" width="6.42578125" style="2385" customWidth="1"/>
    <col min="73" max="73" width="5.42578125" style="2368" customWidth="1"/>
    <col min="74" max="74" width="8.85546875" style="2363" customWidth="1"/>
    <col min="75" max="75" width="9.5703125" style="2363" customWidth="1"/>
    <col min="76" max="76" width="41.28515625" style="2391" customWidth="1"/>
    <col min="77" max="77" width="50.140625" style="2391" customWidth="1"/>
    <col min="78" max="78" width="14" style="680" customWidth="1"/>
    <col min="79" max="79" width="8.5703125" style="2392" customWidth="1"/>
    <col min="80" max="80" width="4.7109375" style="2391" customWidth="1"/>
    <col min="81" max="81" width="4.7109375" style="2383" customWidth="1"/>
    <col min="82" max="82" width="7.140625" style="2377" customWidth="1"/>
    <col min="83" max="83" width="5.7109375" style="2393" customWidth="1"/>
    <col min="84" max="84" width="5.140625" style="680" customWidth="1"/>
    <col min="85" max="87" width="9.28515625" style="2383" bestFit="1" customWidth="1"/>
    <col min="88" max="88" width="9.140625" style="2383"/>
    <col min="89" max="98" width="9.28515625" style="2383" bestFit="1" customWidth="1"/>
    <col min="99" max="101" width="9.140625" style="2383"/>
    <col min="102" max="103" width="9.28515625" style="2383" bestFit="1" customWidth="1"/>
    <col min="104" max="104" width="11.7109375" style="2383" bestFit="1" customWidth="1"/>
    <col min="105" max="105" width="9.140625" style="2383"/>
    <col min="106" max="106" width="18.28515625" style="2383" customWidth="1"/>
    <col min="107" max="107" width="9.28515625" style="2383" bestFit="1" customWidth="1"/>
    <col min="108" max="120" width="9.140625" style="2383"/>
    <col min="121" max="121" width="9.28515625" style="2383" bestFit="1" customWidth="1"/>
    <col min="122" max="122" width="9.140625" style="2383"/>
    <col min="123" max="123" width="9.28515625" style="2383" bestFit="1" customWidth="1"/>
    <col min="124" max="127" width="9.140625" style="2383"/>
    <col min="128" max="128" width="9.28515625" style="2383" bestFit="1" customWidth="1"/>
    <col min="129" max="16384" width="9.140625" style="2383"/>
  </cols>
  <sheetData>
    <row r="1" spans="1:144" s="1453" customFormat="1" ht="18.75" customHeight="1" x14ac:dyDescent="0.2">
      <c r="A1" s="1449"/>
      <c r="B1" s="2446" t="s">
        <v>415</v>
      </c>
      <c r="C1" s="2446"/>
      <c r="D1" s="2446"/>
      <c r="E1" s="2446"/>
      <c r="F1" s="2446"/>
      <c r="G1" s="2446"/>
      <c r="H1" s="2446"/>
      <c r="I1" s="2446"/>
      <c r="J1" s="2446"/>
      <c r="K1" s="2446"/>
      <c r="L1" s="2446"/>
      <c r="M1" s="2446"/>
      <c r="N1" s="2446"/>
      <c r="O1" s="2446"/>
      <c r="P1" s="2446"/>
      <c r="Q1" s="2446"/>
      <c r="R1" s="2446"/>
      <c r="S1" s="2446"/>
      <c r="T1" s="1450"/>
      <c r="U1" s="1451"/>
      <c r="V1" s="2447" t="s">
        <v>212</v>
      </c>
      <c r="W1" s="2447"/>
      <c r="X1" s="2447"/>
      <c r="Y1" s="2447"/>
      <c r="Z1" s="2447"/>
      <c r="AA1" s="2447"/>
      <c r="AB1" s="2447"/>
      <c r="AC1" s="2447"/>
      <c r="AD1" s="2447"/>
      <c r="AE1" s="2447"/>
      <c r="AF1" s="2447"/>
      <c r="AG1" s="2447"/>
      <c r="AH1" s="2447"/>
      <c r="AI1" s="2447"/>
      <c r="AJ1" s="2447"/>
      <c r="AK1" s="2447"/>
      <c r="AL1" s="2447"/>
      <c r="AM1" s="2447"/>
      <c r="AN1" s="2447"/>
      <c r="AO1" s="2447"/>
      <c r="AP1" s="2447"/>
      <c r="AQ1" s="2447"/>
      <c r="AR1" s="2448" t="s">
        <v>648</v>
      </c>
      <c r="AS1" s="2448"/>
      <c r="AT1" s="2448"/>
      <c r="AU1" s="2448"/>
      <c r="AV1" s="2448"/>
      <c r="AW1" s="2448"/>
      <c r="AX1" s="2448"/>
      <c r="AY1" s="1452"/>
      <c r="BV1" s="1454"/>
      <c r="BW1" s="1454"/>
    </row>
    <row r="2" spans="1:144" s="1453" customFormat="1" x14ac:dyDescent="0.2">
      <c r="A2" s="1449"/>
      <c r="B2" s="2447" t="s">
        <v>574</v>
      </c>
      <c r="C2" s="2447"/>
      <c r="D2" s="2447"/>
      <c r="E2" s="2447"/>
      <c r="F2" s="2447"/>
      <c r="G2" s="2447"/>
      <c r="H2" s="2447"/>
      <c r="I2" s="2447"/>
      <c r="J2" s="2447"/>
      <c r="K2" s="2447"/>
      <c r="L2" s="2447"/>
      <c r="M2" s="2447"/>
      <c r="N2" s="2447"/>
      <c r="O2" s="2447"/>
      <c r="P2" s="2447"/>
      <c r="Q2" s="2447"/>
      <c r="R2" s="2447"/>
      <c r="S2" s="2447"/>
      <c r="T2" s="1450"/>
      <c r="U2" s="1451"/>
      <c r="V2" s="2447" t="s">
        <v>213</v>
      </c>
      <c r="W2" s="2447"/>
      <c r="X2" s="2447"/>
      <c r="Y2" s="2447"/>
      <c r="Z2" s="2447"/>
      <c r="AA2" s="2447"/>
      <c r="AB2" s="2447"/>
      <c r="AC2" s="2447"/>
      <c r="AD2" s="2447"/>
      <c r="AE2" s="2447"/>
      <c r="AF2" s="2447"/>
      <c r="AG2" s="2447"/>
      <c r="AH2" s="2447"/>
      <c r="AI2" s="2447"/>
      <c r="AJ2" s="2447"/>
      <c r="AK2" s="2447"/>
      <c r="AL2" s="2447"/>
      <c r="AM2" s="2447"/>
      <c r="AN2" s="2447"/>
      <c r="AO2" s="2447"/>
      <c r="AP2" s="2447"/>
      <c r="AQ2" s="2447"/>
      <c r="AR2" s="1455"/>
      <c r="AS2" s="1450"/>
      <c r="AT2" s="1450"/>
      <c r="AU2" s="1456"/>
      <c r="AV2" s="1450"/>
      <c r="AW2" s="1456"/>
      <c r="AX2" s="1450"/>
      <c r="AY2" s="1452"/>
      <c r="BV2" s="1454"/>
      <c r="BW2" s="1454"/>
    </row>
    <row r="3" spans="1:144" s="784" customFormat="1" ht="21.75" customHeight="1" x14ac:dyDescent="0.2">
      <c r="A3" s="781"/>
      <c r="B3" s="781"/>
      <c r="C3" s="781"/>
      <c r="D3" s="782"/>
      <c r="E3" s="781"/>
      <c r="F3" s="783"/>
      <c r="G3" s="781"/>
      <c r="H3" s="781"/>
      <c r="I3" s="781"/>
      <c r="J3" s="781"/>
      <c r="K3" s="781"/>
      <c r="L3" s="781"/>
      <c r="M3" s="781"/>
      <c r="N3" s="781"/>
      <c r="O3" s="781"/>
      <c r="P3" s="781"/>
      <c r="Q3" s="782"/>
      <c r="R3" s="772"/>
      <c r="S3" s="1457"/>
      <c r="T3" s="1457"/>
      <c r="U3" s="1458"/>
      <c r="V3" s="2445" t="s">
        <v>655</v>
      </c>
      <c r="W3" s="2445"/>
      <c r="X3" s="2445"/>
      <c r="Y3" s="2445"/>
      <c r="Z3" s="2445"/>
      <c r="AA3" s="2445"/>
      <c r="AB3" s="2445"/>
      <c r="AC3" s="2445"/>
      <c r="AD3" s="2445"/>
      <c r="AE3" s="2445"/>
      <c r="AF3" s="2445"/>
      <c r="AG3" s="2445"/>
      <c r="AH3" s="2445"/>
      <c r="AI3" s="2445"/>
      <c r="AJ3" s="2445"/>
      <c r="AK3" s="2445"/>
      <c r="AL3" s="2445"/>
      <c r="AM3" s="2445"/>
      <c r="AN3" s="2445"/>
      <c r="AO3" s="2445"/>
      <c r="AP3" s="2445"/>
      <c r="AQ3" s="2445"/>
      <c r="AR3" s="1459"/>
      <c r="AS3" s="1460"/>
      <c r="AT3" s="1460"/>
      <c r="AU3" s="1461"/>
      <c r="AV3" s="1460"/>
      <c r="AW3" s="1461"/>
      <c r="AX3" s="1460"/>
      <c r="AY3" s="1462"/>
      <c r="AZ3" s="1460"/>
      <c r="BA3" s="1460"/>
      <c r="BB3" s="1460"/>
      <c r="BC3" s="1460"/>
      <c r="BD3" s="1460"/>
      <c r="BE3" s="1460"/>
      <c r="BF3" s="1460"/>
      <c r="BG3" s="1460"/>
      <c r="BH3" s="1460"/>
      <c r="BI3" s="1460"/>
      <c r="BJ3" s="1460"/>
      <c r="BK3" s="1460"/>
      <c r="BL3" s="1460"/>
      <c r="BM3" s="1460"/>
      <c r="BN3" s="1460"/>
      <c r="BO3" s="1460"/>
      <c r="BP3" s="1460"/>
      <c r="BQ3" s="1460"/>
      <c r="BR3" s="1460"/>
      <c r="BS3" s="1460"/>
      <c r="BU3" s="1460"/>
      <c r="BV3" s="1463"/>
      <c r="BW3" s="1463"/>
      <c r="BY3" s="1464"/>
    </row>
    <row r="4" spans="1:144" s="784" customFormat="1" ht="31.5" customHeight="1" x14ac:dyDescent="0.2">
      <c r="A4" s="1465"/>
      <c r="B4" s="2417" t="s">
        <v>651</v>
      </c>
      <c r="C4" s="2417"/>
      <c r="D4" s="2417"/>
      <c r="E4" s="2417"/>
      <c r="F4" s="2417"/>
      <c r="G4" s="2417"/>
      <c r="H4" s="2417"/>
      <c r="I4" s="2417"/>
      <c r="J4" s="2417"/>
      <c r="K4" s="2417"/>
      <c r="L4" s="2417"/>
      <c r="M4" s="2417"/>
      <c r="N4" s="2417"/>
      <c r="O4" s="2417"/>
      <c r="P4" s="2417"/>
      <c r="Q4" s="2417"/>
      <c r="R4" s="2417"/>
      <c r="S4" s="2417"/>
      <c r="T4" s="2417"/>
      <c r="U4" s="2417"/>
      <c r="V4" s="2417"/>
      <c r="W4" s="2417"/>
      <c r="X4" s="2417"/>
      <c r="Y4" s="2417"/>
      <c r="Z4" s="2417"/>
      <c r="AA4" s="2417"/>
      <c r="AB4" s="2417"/>
      <c r="AC4" s="2417"/>
      <c r="AD4" s="2417"/>
      <c r="AE4" s="2417"/>
      <c r="AF4" s="2417"/>
      <c r="AG4" s="2417"/>
      <c r="AH4" s="2417"/>
      <c r="AI4" s="2417"/>
      <c r="AJ4" s="2417"/>
      <c r="AK4" s="2417"/>
      <c r="AL4" s="2417"/>
      <c r="AM4" s="2417"/>
      <c r="AN4" s="2417"/>
      <c r="AO4" s="2417"/>
      <c r="AP4" s="2417"/>
      <c r="AQ4" s="2417"/>
      <c r="AR4" s="2417"/>
      <c r="AS4" s="2417"/>
      <c r="AT4" s="2417"/>
      <c r="AU4" s="2417"/>
      <c r="AV4" s="2417"/>
      <c r="AW4" s="2417"/>
      <c r="AX4" s="2417"/>
      <c r="AY4" s="2417"/>
      <c r="AZ4" s="787"/>
      <c r="BA4" s="787"/>
      <c r="BB4" s="787"/>
      <c r="BC4" s="787"/>
      <c r="BD4" s="787"/>
      <c r="BE4" s="787"/>
      <c r="BF4" s="787"/>
      <c r="BG4" s="787"/>
      <c r="BH4" s="787"/>
      <c r="BI4" s="787"/>
      <c r="BJ4" s="787"/>
      <c r="BK4" s="787"/>
      <c r="BL4" s="787"/>
      <c r="BM4" s="787"/>
      <c r="BN4" s="787"/>
      <c r="BO4" s="787"/>
      <c r="BP4" s="787"/>
      <c r="BQ4" s="787"/>
      <c r="BR4" s="787"/>
      <c r="BS4" s="787"/>
      <c r="BT4" s="787"/>
      <c r="BU4" s="787"/>
      <c r="BV4" s="1463"/>
      <c r="BW4" s="1466"/>
      <c r="BX4" s="1466"/>
      <c r="BY4" s="1464"/>
    </row>
    <row r="5" spans="1:144" s="1480" customFormat="1" ht="24.75" customHeight="1" x14ac:dyDescent="0.2">
      <c r="A5" s="1467"/>
      <c r="B5" s="2418" t="s">
        <v>623</v>
      </c>
      <c r="C5" s="2419"/>
      <c r="D5" s="2419"/>
      <c r="E5" s="2419"/>
      <c r="F5" s="2419"/>
      <c r="G5" s="2419"/>
      <c r="H5" s="2419"/>
      <c r="I5" s="2419"/>
      <c r="J5" s="2419"/>
      <c r="K5" s="2419"/>
      <c r="L5" s="2419"/>
      <c r="M5" s="2419"/>
      <c r="N5" s="2419"/>
      <c r="O5" s="2419"/>
      <c r="P5" s="2419"/>
      <c r="Q5" s="2419"/>
      <c r="R5" s="2419"/>
      <c r="S5" s="2419"/>
      <c r="T5" s="2419"/>
      <c r="U5" s="2419"/>
      <c r="V5" s="2419"/>
      <c r="W5" s="2419"/>
      <c r="X5" s="2419"/>
      <c r="Y5" s="2419"/>
      <c r="Z5" s="2419"/>
      <c r="AA5" s="2419"/>
      <c r="AB5" s="2419"/>
      <c r="AC5" s="2419"/>
      <c r="AD5" s="2419"/>
      <c r="AE5" s="2419"/>
      <c r="AF5" s="2419"/>
      <c r="AG5" s="2419"/>
      <c r="AH5" s="2419"/>
      <c r="AI5" s="2419"/>
      <c r="AJ5" s="2419"/>
      <c r="AK5" s="2419"/>
      <c r="AL5" s="2419"/>
      <c r="AM5" s="2419"/>
      <c r="AN5" s="2419"/>
      <c r="AO5" s="2419"/>
      <c r="AP5" s="2419"/>
      <c r="AQ5" s="2419"/>
      <c r="AR5" s="2419"/>
      <c r="AS5" s="2419"/>
      <c r="AT5" s="2419"/>
      <c r="AU5" s="2419"/>
      <c r="AV5" s="2419"/>
      <c r="AW5" s="2419"/>
      <c r="AX5" s="2419"/>
      <c r="AY5" s="2419"/>
      <c r="AZ5" s="1468"/>
      <c r="BA5" s="1469"/>
      <c r="BB5" s="1470"/>
      <c r="BC5" s="1471"/>
      <c r="BD5" s="1469"/>
      <c r="BE5" s="1472"/>
      <c r="BF5" s="1473"/>
      <c r="BG5" s="1474"/>
      <c r="BH5" s="1470"/>
      <c r="BI5" s="1470"/>
      <c r="BJ5" s="1475"/>
      <c r="BK5" s="1475"/>
      <c r="BL5" s="1468"/>
      <c r="BM5" s="1476"/>
      <c r="BN5" s="1477"/>
      <c r="BO5" s="1477"/>
      <c r="BP5" s="1478"/>
      <c r="BQ5" s="1479"/>
      <c r="BR5" s="1479"/>
      <c r="BS5" s="1479"/>
      <c r="BT5" s="1479"/>
      <c r="BU5" s="790"/>
      <c r="BW5" s="1478"/>
      <c r="BX5" s="1478"/>
      <c r="BY5" s="1478"/>
      <c r="BZ5" s="1478"/>
    </row>
    <row r="6" spans="1:144" s="1480" customFormat="1" ht="16.5" customHeight="1" x14ac:dyDescent="0.2">
      <c r="A6" s="1467"/>
      <c r="B6" s="2420" t="s">
        <v>650</v>
      </c>
      <c r="C6" s="2419"/>
      <c r="D6" s="2419"/>
      <c r="E6" s="2419"/>
      <c r="F6" s="2419"/>
      <c r="G6" s="2419"/>
      <c r="H6" s="2419"/>
      <c r="I6" s="2419"/>
      <c r="J6" s="2419"/>
      <c r="K6" s="2419"/>
      <c r="L6" s="2419"/>
      <c r="M6" s="2419"/>
      <c r="N6" s="2419"/>
      <c r="O6" s="2419"/>
      <c r="P6" s="2419"/>
      <c r="Q6" s="2419"/>
      <c r="R6" s="2419"/>
      <c r="S6" s="2419"/>
      <c r="T6" s="2419"/>
      <c r="U6" s="2419"/>
      <c r="V6" s="2419"/>
      <c r="W6" s="2419"/>
      <c r="X6" s="2419"/>
      <c r="Y6" s="2419"/>
      <c r="Z6" s="2419"/>
      <c r="AA6" s="2419"/>
      <c r="AB6" s="2419"/>
      <c r="AC6" s="2419"/>
      <c r="AD6" s="2419"/>
      <c r="AE6" s="2419"/>
      <c r="AF6" s="2419"/>
      <c r="AG6" s="2419"/>
      <c r="AH6" s="2419"/>
      <c r="AI6" s="2419"/>
      <c r="AJ6" s="2419"/>
      <c r="AK6" s="2419"/>
      <c r="AL6" s="2419"/>
      <c r="AM6" s="2419"/>
      <c r="AN6" s="2419"/>
      <c r="AO6" s="2419"/>
      <c r="AP6" s="2419"/>
      <c r="AQ6" s="2419"/>
      <c r="AR6" s="2419"/>
      <c r="AS6" s="2419"/>
      <c r="AT6" s="2419"/>
      <c r="AU6" s="2419"/>
      <c r="AV6" s="2419"/>
      <c r="AW6" s="2419"/>
      <c r="AX6" s="2419"/>
      <c r="AY6" s="2419"/>
      <c r="AZ6" s="1468"/>
      <c r="BA6" s="1469"/>
      <c r="BB6" s="1470"/>
      <c r="BC6" s="1471"/>
      <c r="BD6" s="1469"/>
      <c r="BE6" s="1472"/>
      <c r="BF6" s="1473"/>
      <c r="BG6" s="1474"/>
      <c r="BH6" s="1470"/>
      <c r="BI6" s="1470"/>
      <c r="BJ6" s="1475"/>
      <c r="BK6" s="1475"/>
      <c r="BL6" s="1468"/>
      <c r="BM6" s="1476"/>
      <c r="BN6" s="1477"/>
      <c r="BO6" s="1477"/>
      <c r="BP6" s="1478"/>
      <c r="BQ6" s="1479"/>
      <c r="BR6" s="1479"/>
      <c r="BS6" s="1479"/>
      <c r="BT6" s="1479"/>
      <c r="BU6" s="790"/>
      <c r="BW6" s="1478"/>
      <c r="BX6" s="1478"/>
      <c r="BY6" s="1478"/>
      <c r="BZ6" s="1478"/>
    </row>
    <row r="7" spans="1:144" s="1498" customFormat="1" ht="18" customHeight="1" x14ac:dyDescent="0.2">
      <c r="A7" s="1481"/>
      <c r="B7" s="1482"/>
      <c r="C7" s="1482"/>
      <c r="D7" s="1483" t="s">
        <v>313</v>
      </c>
      <c r="E7" s="1484" t="s">
        <v>313</v>
      </c>
      <c r="F7" s="1485" t="s">
        <v>652</v>
      </c>
      <c r="G7" s="769"/>
      <c r="H7" s="769"/>
      <c r="I7" s="770"/>
      <c r="J7" s="771"/>
      <c r="K7" s="771"/>
      <c r="L7" s="771"/>
      <c r="M7" s="768"/>
      <c r="N7" s="771"/>
      <c r="O7" s="771"/>
      <c r="P7" s="771"/>
      <c r="Q7" s="1486" t="s">
        <v>450</v>
      </c>
      <c r="R7" s="768" t="s">
        <v>314</v>
      </c>
      <c r="S7" s="768"/>
      <c r="T7" s="768"/>
      <c r="U7" s="768"/>
      <c r="V7" s="768"/>
      <c r="W7" s="768"/>
      <c r="X7" s="768"/>
      <c r="Y7" s="768"/>
      <c r="Z7" s="768"/>
      <c r="AA7" s="768"/>
      <c r="AB7" s="769"/>
      <c r="AC7" s="768"/>
      <c r="AD7" s="769"/>
      <c r="AE7" s="768"/>
      <c r="AF7" s="768"/>
      <c r="AG7" s="768"/>
      <c r="AH7" s="1487"/>
      <c r="AI7" s="1488"/>
      <c r="AJ7" s="1489"/>
      <c r="AK7" s="1488"/>
      <c r="AL7" s="771"/>
      <c r="AM7" s="1490"/>
      <c r="AN7" s="772"/>
      <c r="AO7" s="768"/>
      <c r="AP7" s="768"/>
      <c r="AQ7" s="1491"/>
      <c r="AR7" s="1492"/>
      <c r="AS7" s="1493"/>
      <c r="AT7" s="1487"/>
      <c r="AU7" s="1488"/>
      <c r="AV7" s="1489"/>
      <c r="AW7" s="1488"/>
      <c r="AX7" s="771"/>
      <c r="AY7" s="1494"/>
      <c r="AZ7" s="777"/>
      <c r="BA7" s="777"/>
      <c r="BB7" s="777"/>
      <c r="BC7" s="777"/>
      <c r="BD7" s="777"/>
      <c r="BE7" s="777"/>
      <c r="BF7" s="777"/>
      <c r="BG7" s="777"/>
      <c r="BH7" s="777"/>
      <c r="BI7" s="777"/>
      <c r="BJ7" s="777"/>
      <c r="BK7" s="777"/>
      <c r="BL7" s="777"/>
      <c r="BM7" s="777"/>
      <c r="BN7" s="777"/>
      <c r="BO7" s="777"/>
      <c r="BP7" s="777"/>
      <c r="BQ7" s="777"/>
      <c r="BR7" s="777"/>
      <c r="BS7" s="777"/>
      <c r="BT7" s="777"/>
      <c r="BU7" s="1495"/>
      <c r="BV7" s="1496"/>
      <c r="BW7" s="1497"/>
      <c r="BY7" s="1499"/>
    </row>
    <row r="8" spans="1:144" s="1505" customFormat="1" ht="5.25" customHeight="1" x14ac:dyDescent="0.2">
      <c r="A8" s="1487"/>
      <c r="B8" s="1482"/>
      <c r="C8" s="1482"/>
      <c r="D8" s="1500"/>
      <c r="E8" s="773"/>
      <c r="F8" s="1501"/>
      <c r="G8" s="769"/>
      <c r="H8" s="769"/>
      <c r="I8" s="770"/>
      <c r="J8" s="771"/>
      <c r="K8" s="771"/>
      <c r="L8" s="771"/>
      <c r="M8" s="771"/>
      <c r="N8" s="771"/>
      <c r="O8" s="771"/>
      <c r="P8" s="771"/>
      <c r="Q8" s="1486"/>
      <c r="R8" s="768"/>
      <c r="S8" s="768"/>
      <c r="T8" s="768"/>
      <c r="U8" s="768"/>
      <c r="V8" s="768"/>
      <c r="W8" s="768"/>
      <c r="X8" s="768"/>
      <c r="Y8" s="768"/>
      <c r="Z8" s="768"/>
      <c r="AA8" s="768"/>
      <c r="AB8" s="768"/>
      <c r="AC8" s="768"/>
      <c r="AD8" s="769"/>
      <c r="AE8" s="768"/>
      <c r="AF8" s="768"/>
      <c r="AG8" s="768"/>
      <c r="AH8" s="1487"/>
      <c r="AI8" s="1488"/>
      <c r="AJ8" s="1489"/>
      <c r="AK8" s="1488"/>
      <c r="AL8" s="771"/>
      <c r="AM8" s="1490"/>
      <c r="AN8" s="772"/>
      <c r="AO8" s="768"/>
      <c r="AP8" s="768"/>
      <c r="AQ8" s="1491"/>
      <c r="AR8" s="1492"/>
      <c r="AS8" s="1493"/>
      <c r="AT8" s="1487"/>
      <c r="AU8" s="1488"/>
      <c r="AV8" s="1489"/>
      <c r="AW8" s="1488"/>
      <c r="AX8" s="771"/>
      <c r="AY8" s="1494"/>
      <c r="AZ8" s="777"/>
      <c r="BA8" s="777"/>
      <c r="BB8" s="777"/>
      <c r="BC8" s="777"/>
      <c r="BD8" s="777"/>
      <c r="BE8" s="777"/>
      <c r="BF8" s="777"/>
      <c r="BG8" s="777"/>
      <c r="BH8" s="777"/>
      <c r="BI8" s="777"/>
      <c r="BJ8" s="777"/>
      <c r="BK8" s="777"/>
      <c r="BL8" s="777"/>
      <c r="BM8" s="777"/>
      <c r="BN8" s="777"/>
      <c r="BO8" s="777"/>
      <c r="BP8" s="777"/>
      <c r="BQ8" s="777"/>
      <c r="BR8" s="777"/>
      <c r="BS8" s="777"/>
      <c r="BT8" s="777"/>
      <c r="BU8" s="1502"/>
      <c r="BV8" s="1503"/>
      <c r="BW8" s="1504"/>
      <c r="BY8" s="1506"/>
    </row>
    <row r="9" spans="1:144" s="1515" customFormat="1" ht="24" customHeight="1" x14ac:dyDescent="0.2">
      <c r="A9" s="1507"/>
      <c r="B9" s="2421" t="s">
        <v>546</v>
      </c>
      <c r="C9" s="1508"/>
      <c r="D9" s="2421" t="s">
        <v>101</v>
      </c>
      <c r="E9" s="2421" t="s">
        <v>547</v>
      </c>
      <c r="F9" s="2424" t="s">
        <v>548</v>
      </c>
      <c r="G9" s="1509"/>
      <c r="H9" s="1509"/>
      <c r="I9" s="1509"/>
      <c r="J9" s="1509"/>
      <c r="K9" s="1510"/>
      <c r="L9" s="1510"/>
      <c r="M9" s="2427" t="s">
        <v>541</v>
      </c>
      <c r="N9" s="1510"/>
      <c r="O9" s="1510"/>
      <c r="P9" s="1510"/>
      <c r="Q9" s="1511"/>
      <c r="R9" s="2430" t="s">
        <v>549</v>
      </c>
      <c r="S9" s="2431"/>
      <c r="T9" s="1512"/>
      <c r="U9" s="1513"/>
      <c r="V9" s="2436" t="s">
        <v>560</v>
      </c>
      <c r="W9" s="2430"/>
      <c r="X9" s="2431"/>
      <c r="Y9" s="2421" t="s">
        <v>123</v>
      </c>
      <c r="Z9" s="1508"/>
      <c r="AA9" s="1514" t="s">
        <v>433</v>
      </c>
      <c r="AB9" s="2439" t="s">
        <v>555</v>
      </c>
      <c r="AC9" s="2440"/>
      <c r="AD9" s="2440"/>
      <c r="AE9" s="2440"/>
      <c r="AF9" s="2440"/>
      <c r="AG9" s="2440"/>
      <c r="AH9" s="2440"/>
      <c r="AI9" s="2440"/>
      <c r="AJ9" s="2440"/>
      <c r="AK9" s="2440"/>
      <c r="AL9" s="2441"/>
      <c r="AM9" s="2436" t="s">
        <v>552</v>
      </c>
      <c r="AN9" s="2431"/>
      <c r="AO9" s="2439" t="s">
        <v>559</v>
      </c>
      <c r="AP9" s="2440"/>
      <c r="AQ9" s="2440"/>
      <c r="AR9" s="2440"/>
      <c r="AS9" s="2440"/>
      <c r="AT9" s="2440"/>
      <c r="AU9" s="2440"/>
      <c r="AV9" s="2440"/>
      <c r="AW9" s="2440"/>
      <c r="AX9" s="2441"/>
      <c r="AY9" s="2442" t="s">
        <v>397</v>
      </c>
      <c r="BA9" s="1510"/>
      <c r="BB9" s="1510"/>
      <c r="BC9" s="1510"/>
      <c r="BD9" s="1510"/>
      <c r="BE9" s="1510"/>
      <c r="BF9" s="1510"/>
      <c r="BG9" s="1510"/>
      <c r="BH9" s="1510"/>
      <c r="BI9" s="1510"/>
      <c r="BJ9" s="2404" t="s">
        <v>124</v>
      </c>
      <c r="BK9" s="1510"/>
      <c r="BL9" s="1510"/>
      <c r="BM9" s="1510"/>
      <c r="BN9" s="1510"/>
      <c r="BO9" s="1510"/>
      <c r="BP9" s="1510"/>
      <c r="BQ9" s="1510"/>
      <c r="BR9" s="1510"/>
      <c r="BS9" s="1510"/>
      <c r="BT9" s="2404" t="s">
        <v>124</v>
      </c>
      <c r="BU9" s="2407" t="s">
        <v>397</v>
      </c>
      <c r="BV9" s="1516"/>
      <c r="BW9" s="1517"/>
      <c r="BX9" s="1518"/>
      <c r="BY9" s="1519"/>
      <c r="BZ9" s="1518"/>
      <c r="CA9" s="1520"/>
      <c r="CB9" s="1521"/>
      <c r="CC9" s="1522"/>
      <c r="CD9" s="1523"/>
      <c r="CE9" s="1518"/>
      <c r="CF9" s="1518"/>
      <c r="CW9" s="1524"/>
      <c r="CX9" s="1522"/>
      <c r="CY9" s="1525"/>
      <c r="CZ9" s="1526"/>
      <c r="DA9" s="1527"/>
      <c r="DB9" s="1528"/>
      <c r="DC9" s="1529"/>
      <c r="DD9" s="1527"/>
      <c r="DE9" s="1530"/>
      <c r="DF9" s="1531"/>
      <c r="DG9" s="1531"/>
      <c r="DH9" s="1529"/>
      <c r="DI9" s="1532"/>
      <c r="DJ9" s="1533"/>
    </row>
    <row r="10" spans="1:144" s="1515" customFormat="1" ht="27" customHeight="1" x14ac:dyDescent="0.2">
      <c r="A10" s="1507"/>
      <c r="B10" s="2422"/>
      <c r="C10" s="1508"/>
      <c r="D10" s="2422"/>
      <c r="E10" s="2422"/>
      <c r="F10" s="2425"/>
      <c r="G10" s="1509"/>
      <c r="H10" s="1509"/>
      <c r="I10" s="1509"/>
      <c r="J10" s="1509"/>
      <c r="K10" s="1510"/>
      <c r="L10" s="1510"/>
      <c r="M10" s="2428"/>
      <c r="N10" s="1510"/>
      <c r="O10" s="1510"/>
      <c r="P10" s="1510"/>
      <c r="Q10" s="1534"/>
      <c r="R10" s="2432"/>
      <c r="S10" s="2433"/>
      <c r="T10" s="1512"/>
      <c r="U10" s="1513"/>
      <c r="V10" s="2437"/>
      <c r="W10" s="2432"/>
      <c r="X10" s="2433"/>
      <c r="Y10" s="2422"/>
      <c r="Z10" s="1508"/>
      <c r="AA10" s="2410" t="s">
        <v>489</v>
      </c>
      <c r="AB10" s="2410"/>
      <c r="AC10" s="2410"/>
      <c r="AD10" s="2410"/>
      <c r="AE10" s="2410" t="s">
        <v>459</v>
      </c>
      <c r="AF10" s="2410" t="s">
        <v>544</v>
      </c>
      <c r="AG10" s="2410"/>
      <c r="AH10" s="2411" t="s">
        <v>550</v>
      </c>
      <c r="AI10" s="2412"/>
      <c r="AJ10" s="2412"/>
      <c r="AK10" s="2412"/>
      <c r="AL10" s="2413"/>
      <c r="AM10" s="2438"/>
      <c r="AN10" s="2435"/>
      <c r="AO10" s="2410" t="s">
        <v>489</v>
      </c>
      <c r="AP10" s="2410"/>
      <c r="AQ10" s="2410"/>
      <c r="AR10" s="2410" t="s">
        <v>556</v>
      </c>
      <c r="AS10" s="2410"/>
      <c r="AT10" s="1512"/>
      <c r="AU10" s="1512"/>
      <c r="AV10" s="2410" t="s">
        <v>550</v>
      </c>
      <c r="AW10" s="2410"/>
      <c r="AX10" s="2410"/>
      <c r="AY10" s="2443"/>
      <c r="BA10" s="1510"/>
      <c r="BB10" s="1510"/>
      <c r="BC10" s="1510"/>
      <c r="BD10" s="1510"/>
      <c r="BE10" s="1510"/>
      <c r="BF10" s="1510"/>
      <c r="BG10" s="1510"/>
      <c r="BH10" s="1510"/>
      <c r="BI10" s="1510"/>
      <c r="BJ10" s="2405"/>
      <c r="BK10" s="1510"/>
      <c r="BL10" s="1510"/>
      <c r="BM10" s="1510"/>
      <c r="BN10" s="1510"/>
      <c r="BO10" s="1510"/>
      <c r="BP10" s="1510"/>
      <c r="BQ10" s="1510"/>
      <c r="BR10" s="1510"/>
      <c r="BS10" s="1510"/>
      <c r="BT10" s="2405"/>
      <c r="BU10" s="2408"/>
      <c r="BV10" s="1516"/>
      <c r="BW10" s="1517"/>
      <c r="BX10" s="1518"/>
      <c r="BY10" s="1519"/>
      <c r="BZ10" s="1518"/>
      <c r="CA10" s="1520"/>
      <c r="CB10" s="1521"/>
      <c r="CC10" s="1522"/>
      <c r="CD10" s="1523"/>
      <c r="CE10" s="1518"/>
      <c r="CF10" s="1518"/>
      <c r="CW10" s="1524"/>
      <c r="CX10" s="1522"/>
      <c r="CY10" s="1525"/>
      <c r="CZ10" s="1526"/>
      <c r="DA10" s="1527"/>
      <c r="DB10" s="1528"/>
      <c r="DC10" s="1529"/>
      <c r="DD10" s="1527"/>
      <c r="DE10" s="1530"/>
      <c r="DF10" s="1531"/>
      <c r="DG10" s="1531"/>
      <c r="DH10" s="1529"/>
      <c r="DI10" s="1532"/>
      <c r="DJ10" s="1533"/>
    </row>
    <row r="11" spans="1:144" s="1515" customFormat="1" ht="39" customHeight="1" x14ac:dyDescent="0.2">
      <c r="A11" s="1507">
        <v>163</v>
      </c>
      <c r="B11" s="2423"/>
      <c r="C11" s="1508"/>
      <c r="D11" s="2423"/>
      <c r="E11" s="2423"/>
      <c r="F11" s="2426"/>
      <c r="G11" s="1509"/>
      <c r="H11" s="1509"/>
      <c r="I11" s="1509"/>
      <c r="J11" s="1509"/>
      <c r="K11" s="1510"/>
      <c r="L11" s="1510"/>
      <c r="M11" s="2429"/>
      <c r="N11" s="1510"/>
      <c r="O11" s="1510"/>
      <c r="P11" s="1510"/>
      <c r="Q11" s="1535"/>
      <c r="R11" s="2434"/>
      <c r="S11" s="2435"/>
      <c r="T11" s="1512"/>
      <c r="U11" s="1513"/>
      <c r="V11" s="2438"/>
      <c r="W11" s="2434"/>
      <c r="X11" s="2435"/>
      <c r="Y11" s="2423"/>
      <c r="Z11" s="1508"/>
      <c r="AA11" s="2410"/>
      <c r="AB11" s="2410"/>
      <c r="AC11" s="2410"/>
      <c r="AD11" s="2410"/>
      <c r="AE11" s="2410"/>
      <c r="AF11" s="2410"/>
      <c r="AG11" s="2410"/>
      <c r="AH11" s="2414"/>
      <c r="AI11" s="2415"/>
      <c r="AJ11" s="2415"/>
      <c r="AK11" s="2415"/>
      <c r="AL11" s="2416"/>
      <c r="AM11" s="1536" t="s">
        <v>545</v>
      </c>
      <c r="AN11" s="1537" t="s">
        <v>557</v>
      </c>
      <c r="AO11" s="2410"/>
      <c r="AP11" s="2410"/>
      <c r="AQ11" s="2410"/>
      <c r="AR11" s="2410"/>
      <c r="AS11" s="2410"/>
      <c r="AU11" s="1538"/>
      <c r="AV11" s="2410"/>
      <c r="AW11" s="2410"/>
      <c r="AX11" s="2410"/>
      <c r="AY11" s="2444"/>
      <c r="BA11" s="1510"/>
      <c r="BB11" s="1510"/>
      <c r="BC11" s="1510"/>
      <c r="BD11" s="1510"/>
      <c r="BE11" s="1510"/>
      <c r="BF11" s="1510"/>
      <c r="BG11" s="1510"/>
      <c r="BH11" s="1510"/>
      <c r="BI11" s="1510"/>
      <c r="BJ11" s="2406"/>
      <c r="BK11" s="1510"/>
      <c r="BL11" s="1510"/>
      <c r="BM11" s="1510"/>
      <c r="BN11" s="1510"/>
      <c r="BO11" s="1510"/>
      <c r="BP11" s="1510"/>
      <c r="BQ11" s="1510"/>
      <c r="BR11" s="1510"/>
      <c r="BS11" s="1510"/>
      <c r="BT11" s="2406"/>
      <c r="BU11" s="2409"/>
      <c r="BV11" s="1516"/>
      <c r="BW11" s="1517" t="s">
        <v>453</v>
      </c>
      <c r="BX11" s="1518" t="s">
        <v>454</v>
      </c>
      <c r="BY11" s="1519"/>
      <c r="BZ11" s="1518" t="e">
        <f>IF(AND(#REF!&gt;0,#REF!&lt;(#REF!-1),CA11&gt;0,CA11&lt;13,OR(AND(CC11="Cùg Ng",(#REF!-#REF!)&gt;#REF!),CC11="- - -")),"Sớm TT","=&gt; s")</f>
        <v>#REF!</v>
      </c>
      <c r="CA11" s="1520" t="e">
        <f>IF(#REF!=3,36-(12*(#REF!-#REF!)+(12-#REF!)-#REF!),IF(#REF!=2,24-(12*(#REF!-#REF!)+(12-#REF!)-#REF!),"---"))</f>
        <v>#REF!</v>
      </c>
      <c r="CB11" s="1521"/>
      <c r="CC11" s="1522" t="e">
        <f>IF(#REF!=#REF!,"Cùg Ng","- - -")</f>
        <v>#REF!</v>
      </c>
      <c r="CD11" s="1523" t="str">
        <f>IF(CF11&gt;2000,"NN","- - -")</f>
        <v>- - -</v>
      </c>
      <c r="CE11" s="1518"/>
      <c r="CF11" s="1518"/>
      <c r="CI11" s="1515" t="str">
        <f>IF(CK11&gt;2000,"CN","- - -")</f>
        <v>- - -</v>
      </c>
      <c r="CN11" s="1515" t="e">
        <f>IF(AND(CO11="Hưu",#REF!&lt;(#REF!-1),CV11&gt;0,CV11&lt;18,OR(#REF!&lt;4,AND(#REF!&gt;3,OR(#REF!&lt;3,#REF!&gt;5)))),"Lg Sớm",IF(AND(CO11="Hưu",#REF!&gt;(#REF!-2),OR(#REF!=0.33,#REF!=0.34),OR(#REF!&lt;4,AND(#REF!&gt;3,OR(#REF!&lt;3,#REF!&gt;5)))),"Nâng Ngạch",IF(AND(CO11="Hưu",#REF!=1,CV11&gt;2,CV11&lt;6,OR(#REF!&lt;4,AND(#REF!&gt;3,OR(#REF!&lt;3,#REF!&gt;5)))),"Nâng PcVK cùng QĐ",IF(AND(CO11="Hưu",#REF!&gt;3,#REF!&gt;2,#REF!&lt;6,#REF!&lt;(#REF!-1),CV11&gt;17,OR(#REF!&gt;1,AND(#REF!=1,OR(CV11&lt;3,CV11&gt;5)))),"Nâng PcNG cùng QĐ",IF(AND(CO11="Hưu",#REF!&lt;(#REF!-1),CV11&gt;0,CV11&lt;18,#REF!&gt;3,#REF!&gt;2,#REF!&lt;6),"Nâng Lg Sớm +(PcNG cùng QĐ)",IF(AND(CO11="Hưu",#REF!&gt;(#REF!-2),OR(#REF!=0.33,#REF!=0.34),#REF!&gt;3,#REF!&gt;2,#REF!&lt;6),"Nâng Ngạch +(PcNG cùng QĐ)",IF(AND(CO11="Hưu",#REF!=1,CV11&gt;2,CV11&lt;6,#REF!&gt;3,#REF!&gt;2,#REF!&lt;6),"Nâng (PcVK +PcNG) cùng QĐ",("---"))))))))</f>
        <v>#REF!</v>
      </c>
      <c r="CO11" s="1515" t="e">
        <f>IF(AND(CZ11&gt;CY11,CZ11&lt;(CY11+13)),"Hưu",IF(AND(CZ11&gt;(CY11+12),CZ11&lt;1000),"Quá","/-/ /-/"))</f>
        <v>#REF!</v>
      </c>
      <c r="CP11" s="1515" t="e">
        <f>IF((#REF!+0)&lt;12,(#REF!+0)+1,IF((#REF!+0)=12,1,IF((#REF!+0)&gt;12,(#REF!+0)-12)))</f>
        <v>#REF!</v>
      </c>
      <c r="CQ11" s="1515" t="e">
        <f>IF(OR((#REF!+0)=12,(#REF!+0)&gt;12),#REF!+CY11/12+1,IF(AND((#REF!+0)&gt;0,(#REF!+0)&lt;12),#REF!+CY11/12,"---"))</f>
        <v>#REF!</v>
      </c>
      <c r="CR11" s="1515" t="e">
        <f>IF(AND(CP11&gt;3,CP11&lt;13),CP11-3,IF(CP11&lt;4,CP11-3+12))</f>
        <v>#REF!</v>
      </c>
      <c r="CS11" s="1515" t="e">
        <f>IF(CR11&lt;CP11,CQ11,IF(CR11&gt;CP11,CQ11-1))</f>
        <v>#REF!</v>
      </c>
      <c r="CT11" s="1515" t="e">
        <f>IF(CP11&gt;6,CP11-6,IF(CP11=6,12,IF(CP11&lt;6,CP11+6)))</f>
        <v>#REF!</v>
      </c>
      <c r="CU11" s="1515" t="e">
        <f>IF(CP11&gt;6,CQ11,IF(CP11&lt;7,CQ11-1))</f>
        <v>#REF!</v>
      </c>
      <c r="CV11" s="1515" t="e">
        <f>IF(AND(CO11="Hưu",#REF!=3),36+#REF!-(12*(CU11-#REF!)+(CT11-#REF!)),IF(AND(CO11="Hưu",#REF!=2),24+#REF!-(12*(CU11-#REF!)+(CT11-#REF!)),IF(AND(CO11="Hưu",#REF!=1),12+#REF!-(12*(CU11-#REF!)+(CT11-#REF!)),"- - -")))</f>
        <v>#REF!</v>
      </c>
      <c r="CW11" s="1524" t="str">
        <f>IF(CX11&gt;0,"K.Dài",". .")</f>
        <v>. .</v>
      </c>
      <c r="CX11" s="1522"/>
      <c r="CY11" s="1525" t="e">
        <f>IF(#REF!="Nam",(60+CX11)*12,IF(#REF!="Nữ",(55+CX11)*12,))</f>
        <v>#REF!</v>
      </c>
      <c r="CZ11" s="1526" t="e">
        <f>12*(#REF!-#REF!)+(12-#REF!)</f>
        <v>#REF!</v>
      </c>
      <c r="DA11" s="1527" t="e">
        <f>#REF!-#REF!</f>
        <v>#REF!</v>
      </c>
      <c r="DB11" s="1528" t="e">
        <f>IF(AND(DA11&lt;35,#REF!="Nam"),"Nam dưới 35",IF(AND(DA11&lt;30,#REF!="Nữ"),"Nữ dưới 30",IF(AND(DA11&gt;34,DA11&lt;46,#REF!="Nam"),"Nam từ 35 - 45",IF(AND(DA11&gt;29,DA11&lt;41,#REF!="Nữ"),"Nữ từ 30 - 40",IF(AND(DA11&gt;45,DA11&lt;56,#REF!="Nam"),"Nam trên 45 - 55",IF(AND(DA11&gt;40,DA11&lt;51,#REF!="Nữ"),"Nữ trên 40 - 50",IF(AND(DA11&gt;55,#REF!="Nam"),"Nam trên 55","Nữ trên 50")))))))</f>
        <v>#REF!</v>
      </c>
      <c r="DC11" s="1529"/>
      <c r="DD11" s="1527"/>
      <c r="DE11" s="1530" t="e">
        <f>IF(DA11&lt;31,"Đến 30",IF(AND(DA11&gt;30,DA11&lt;46),"31 - 45",IF(AND(DA11&gt;45,DA11&lt;70),"Trên 45")))</f>
        <v>#REF!</v>
      </c>
      <c r="DF11" s="1531" t="str">
        <f>IF(DG11&gt;0,"TD","--")</f>
        <v>--</v>
      </c>
      <c r="DG11" s="1531"/>
      <c r="DH11" s="1529"/>
      <c r="DI11" s="1532"/>
      <c r="DJ11" s="1533"/>
      <c r="DP11" s="1515" t="s">
        <v>260</v>
      </c>
      <c r="DQ11" s="1515" t="s">
        <v>341</v>
      </c>
      <c r="DR11" s="1515" t="s">
        <v>359</v>
      </c>
      <c r="DS11" s="1515" t="s">
        <v>345</v>
      </c>
      <c r="DT11" s="1515" t="s">
        <v>359</v>
      </c>
      <c r="DU11" s="1515" t="s">
        <v>362</v>
      </c>
      <c r="DV11" s="1515">
        <f>(DQ11+0)-(DX11+0)</f>
        <v>0</v>
      </c>
      <c r="DW11" s="1515" t="str">
        <f>IF(DV11&gt;0,"Sửa","- - -")</f>
        <v>- - -</v>
      </c>
      <c r="DX11" s="1515" t="s">
        <v>341</v>
      </c>
      <c r="DY11" s="1515" t="s">
        <v>359</v>
      </c>
      <c r="DZ11" s="1515" t="s">
        <v>345</v>
      </c>
      <c r="EA11" s="1515" t="s">
        <v>359</v>
      </c>
      <c r="EB11" s="1515" t="s">
        <v>362</v>
      </c>
      <c r="ED11" s="1515" t="e">
        <f>IF(AND(#REF!&gt;0.34,#REF!=1,OR(#REF!=6.2,#REF!=5.75)),((#REF!-EC11)-2*0.34),IF(AND(#REF!&gt;0.33,#REF!=1,OR(#REF!=4.4,#REF!=4)),((#REF!-EC11)-2*0.33),"- - -"))</f>
        <v>#REF!</v>
      </c>
      <c r="EE11" s="1515" t="e">
        <f>IF(CO11="Hưu",12*(CU11-#REF!)+(CT11-#REF!),"---")</f>
        <v>#REF!</v>
      </c>
    </row>
    <row r="12" spans="1:144" s="1539" customFormat="1" ht="12" customHeight="1" x14ac:dyDescent="0.2">
      <c r="B12" s="1540">
        <v>1</v>
      </c>
      <c r="C12" s="1540"/>
      <c r="D12" s="1540">
        <v>2</v>
      </c>
      <c r="E12" s="1541">
        <v>2</v>
      </c>
      <c r="F12" s="1540">
        <v>3</v>
      </c>
      <c r="G12" s="1540"/>
      <c r="H12" s="1540"/>
      <c r="I12" s="1540"/>
      <c r="J12" s="1540"/>
      <c r="K12" s="1540"/>
      <c r="L12" s="1540"/>
      <c r="M12" s="1540">
        <v>4</v>
      </c>
      <c r="N12" s="1540"/>
      <c r="O12" s="1540"/>
      <c r="P12" s="1540"/>
      <c r="Q12" s="1542"/>
      <c r="R12" s="2398">
        <v>4</v>
      </c>
      <c r="S12" s="2399"/>
      <c r="T12" s="1540"/>
      <c r="U12" s="1540"/>
      <c r="V12" s="2400">
        <v>5</v>
      </c>
      <c r="W12" s="2400"/>
      <c r="X12" s="1543">
        <v>6</v>
      </c>
      <c r="Y12" s="1540">
        <v>6</v>
      </c>
      <c r="Z12" s="1540"/>
      <c r="AA12" s="2401">
        <v>7</v>
      </c>
      <c r="AB12" s="2398"/>
      <c r="AC12" s="2398"/>
      <c r="AD12" s="2399"/>
      <c r="AE12" s="1540">
        <v>8</v>
      </c>
      <c r="AF12" s="2400">
        <v>9</v>
      </c>
      <c r="AG12" s="2400"/>
      <c r="AH12" s="2401">
        <v>10</v>
      </c>
      <c r="AI12" s="2398"/>
      <c r="AJ12" s="2398"/>
      <c r="AK12" s="2398"/>
      <c r="AL12" s="2399"/>
      <c r="AM12" s="2401">
        <v>11</v>
      </c>
      <c r="AN12" s="2399"/>
      <c r="AO12" s="2401">
        <v>12</v>
      </c>
      <c r="AP12" s="2398"/>
      <c r="AQ12" s="2399"/>
      <c r="AR12" s="2401">
        <v>13</v>
      </c>
      <c r="AS12" s="2399"/>
      <c r="AT12" s="2401">
        <v>14</v>
      </c>
      <c r="AU12" s="2398"/>
      <c r="AV12" s="2398"/>
      <c r="AW12" s="2398"/>
      <c r="AX12" s="2399"/>
      <c r="AY12" s="1541">
        <v>15</v>
      </c>
      <c r="AZ12" s="1540"/>
      <c r="BA12" s="1540"/>
      <c r="BB12" s="1540"/>
      <c r="BC12" s="1540"/>
      <c r="BD12" s="1540"/>
      <c r="BE12" s="1540"/>
      <c r="BF12" s="1540"/>
      <c r="BG12" s="1540"/>
      <c r="BH12" s="1540"/>
      <c r="BI12" s="1540"/>
      <c r="BJ12" s="1540">
        <v>12</v>
      </c>
      <c r="BK12" s="1540"/>
      <c r="BL12" s="1540"/>
      <c r="BM12" s="1540"/>
      <c r="BN12" s="1540"/>
      <c r="BO12" s="1540"/>
      <c r="BP12" s="1540"/>
      <c r="BQ12" s="1540"/>
      <c r="BR12" s="1540"/>
      <c r="BS12" s="1540"/>
      <c r="BT12" s="1540">
        <v>11</v>
      </c>
      <c r="BU12" s="1540">
        <v>13</v>
      </c>
    </row>
    <row r="13" spans="1:144" s="1544" customFormat="1" ht="45.75" hidden="1" customHeight="1" x14ac:dyDescent="0.2">
      <c r="B13" s="1545" t="s">
        <v>388</v>
      </c>
      <c r="C13" s="1545"/>
      <c r="D13" s="1545" t="s">
        <v>511</v>
      </c>
      <c r="E13" s="1546" t="s">
        <v>510</v>
      </c>
      <c r="F13" s="1547"/>
      <c r="G13" s="1545"/>
      <c r="H13" s="1545"/>
      <c r="I13" s="1545"/>
      <c r="J13" s="1545"/>
      <c r="K13" s="1545"/>
      <c r="L13" s="1545"/>
      <c r="M13" s="1545"/>
      <c r="N13" s="1545"/>
      <c r="O13" s="1545"/>
      <c r="P13" s="1545"/>
      <c r="Q13" s="1548"/>
      <c r="R13" s="1545" t="s">
        <v>509</v>
      </c>
      <c r="S13" s="1545" t="s">
        <v>508</v>
      </c>
      <c r="T13" s="1547"/>
      <c r="U13" s="1549"/>
      <c r="V13" s="1550" t="s">
        <v>506</v>
      </c>
      <c r="W13" s="1545" t="s">
        <v>507</v>
      </c>
      <c r="X13" s="1551" t="s">
        <v>432</v>
      </c>
      <c r="Y13" s="1552"/>
      <c r="Z13" s="1551"/>
      <c r="AA13" s="1552"/>
      <c r="AB13" s="1553" t="s">
        <v>97</v>
      </c>
      <c r="AC13" s="1554"/>
      <c r="AD13" s="1551" t="s">
        <v>98</v>
      </c>
      <c r="AE13" s="1552" t="s">
        <v>505</v>
      </c>
      <c r="AF13" s="1555" t="s">
        <v>512</v>
      </c>
      <c r="AG13" s="1556"/>
      <c r="AH13" s="1552"/>
      <c r="AI13" s="1554"/>
      <c r="AJ13" s="1553" t="s">
        <v>504</v>
      </c>
      <c r="AK13" s="1554"/>
      <c r="AL13" s="1545" t="s">
        <v>503</v>
      </c>
      <c r="AM13" s="1552"/>
      <c r="AN13" s="1557"/>
      <c r="AO13" s="1552" t="s">
        <v>99</v>
      </c>
      <c r="AP13" s="1554"/>
      <c r="AQ13" s="1558" t="s">
        <v>100</v>
      </c>
      <c r="AR13" s="1559" t="s">
        <v>513</v>
      </c>
      <c r="AS13" s="1560"/>
      <c r="AT13" s="1552"/>
      <c r="AU13" s="1554"/>
      <c r="AV13" s="1545" t="s">
        <v>502</v>
      </c>
      <c r="AW13" s="1554"/>
      <c r="AX13" s="1545" t="s">
        <v>501</v>
      </c>
      <c r="AY13" s="1561"/>
      <c r="AZ13" s="1553"/>
      <c r="BA13" s="1545"/>
      <c r="BB13" s="1545"/>
      <c r="BC13" s="1545"/>
      <c r="BD13" s="1552"/>
      <c r="BE13" s="1545"/>
      <c r="BF13" s="1545"/>
      <c r="BG13" s="1545"/>
      <c r="BH13" s="1545"/>
      <c r="BI13" s="1545"/>
      <c r="BJ13" s="1545"/>
      <c r="BK13" s="1552"/>
      <c r="BL13" s="1551"/>
      <c r="BM13" s="1545"/>
      <c r="BN13" s="1545"/>
      <c r="BO13" s="1545"/>
      <c r="BP13" s="1545"/>
      <c r="BQ13" s="1545"/>
      <c r="BR13" s="1545"/>
      <c r="BS13" s="1545"/>
      <c r="BT13" s="1553"/>
      <c r="BU13" s="1562"/>
      <c r="BV13" s="1563"/>
      <c r="BW13" s="1563"/>
      <c r="BX13" s="1546" t="s">
        <v>500</v>
      </c>
      <c r="BY13" s="1545" t="s">
        <v>499</v>
      </c>
    </row>
    <row r="14" spans="1:144" s="1617" customFormat="1" ht="24.75" customHeight="1" x14ac:dyDescent="0.2">
      <c r="A14" s="1564"/>
      <c r="B14" s="1565" t="s">
        <v>299</v>
      </c>
      <c r="C14" s="1565"/>
      <c r="D14" s="1566"/>
      <c r="E14" s="1566" t="s">
        <v>576</v>
      </c>
      <c r="F14" s="1567"/>
      <c r="G14" s="1568"/>
      <c r="H14" s="1568"/>
      <c r="I14" s="1568"/>
      <c r="J14" s="1569"/>
      <c r="K14" s="1569"/>
      <c r="L14" s="1569"/>
      <c r="M14" s="1569"/>
      <c r="N14" s="1569"/>
      <c r="O14" s="1569"/>
      <c r="P14" s="1569"/>
      <c r="Q14" s="1566"/>
      <c r="R14" s="1570"/>
      <c r="S14" s="1571"/>
      <c r="T14" s="1572"/>
      <c r="U14" s="1572"/>
      <c r="V14" s="1573"/>
      <c r="W14" s="1574"/>
      <c r="X14" s="1575"/>
      <c r="Y14" s="1576"/>
      <c r="Z14" s="1577"/>
      <c r="AA14" s="1578"/>
      <c r="AB14" s="1579"/>
      <c r="AC14" s="1580"/>
      <c r="AD14" s="1581"/>
      <c r="AE14" s="1582"/>
      <c r="AF14" s="1583"/>
      <c r="AG14" s="1581"/>
      <c r="AH14" s="1584"/>
      <c r="AI14" s="1585"/>
      <c r="AJ14" s="1586"/>
      <c r="AK14" s="1587"/>
      <c r="AL14" s="1588"/>
      <c r="AM14" s="1589"/>
      <c r="AN14" s="1590"/>
      <c r="AO14" s="1591"/>
      <c r="AP14" s="1592"/>
      <c r="AQ14" s="1593"/>
      <c r="AR14" s="1583"/>
      <c r="AS14" s="1580"/>
      <c r="AT14" s="1594"/>
      <c r="AU14" s="1595"/>
      <c r="AV14" s="1596"/>
      <c r="AW14" s="1597"/>
      <c r="AX14" s="1598"/>
      <c r="AY14" s="1599"/>
      <c r="AZ14" s="1600"/>
      <c r="BA14" s="1601"/>
      <c r="BB14" s="1601"/>
      <c r="BC14" s="1602"/>
      <c r="BD14" s="1603"/>
      <c r="BE14" s="1604"/>
      <c r="BF14" s="1604"/>
      <c r="BG14" s="1605"/>
      <c r="BH14" s="1606"/>
      <c r="BI14" s="1606"/>
      <c r="BJ14" s="1604"/>
      <c r="BK14" s="1607"/>
      <c r="BL14" s="1608"/>
      <c r="BM14" s="1609"/>
      <c r="BN14" s="1610"/>
      <c r="BO14" s="1610"/>
      <c r="BP14" s="1610"/>
      <c r="BQ14" s="1610"/>
      <c r="BR14" s="1610"/>
      <c r="BS14" s="1604"/>
      <c r="BT14" s="1611"/>
      <c r="BU14" s="1612"/>
      <c r="BV14" s="1604"/>
      <c r="BW14" s="1605"/>
      <c r="BX14" s="1602"/>
      <c r="BY14" s="1613"/>
      <c r="BZ14" s="1614"/>
      <c r="CA14" s="1564"/>
      <c r="CB14" s="1615"/>
      <c r="CC14" s="1615"/>
      <c r="CD14" s="1564"/>
      <c r="CE14" s="1616"/>
      <c r="CF14" s="1564"/>
      <c r="CG14" s="1564"/>
      <c r="CX14" s="1618"/>
      <c r="CY14" s="1619"/>
      <c r="CZ14" s="1620"/>
      <c r="DA14" s="1564"/>
      <c r="DB14" s="1621"/>
      <c r="DC14" s="1621"/>
      <c r="DD14" s="1621"/>
      <c r="DE14" s="1621"/>
      <c r="DF14" s="1622"/>
      <c r="DG14" s="1623"/>
      <c r="DH14" s="1623"/>
      <c r="DI14" s="1621"/>
      <c r="DJ14" s="1624"/>
      <c r="DK14" s="1623"/>
      <c r="DL14" s="1625"/>
      <c r="DM14" s="1625"/>
    </row>
    <row r="15" spans="1:144" s="1661" customFormat="1" ht="33.75" customHeight="1" x14ac:dyDescent="0.2">
      <c r="A15" s="1626">
        <v>34</v>
      </c>
      <c r="B15" s="1627">
        <v>1</v>
      </c>
      <c r="C15" s="1626"/>
      <c r="D15" s="1626" t="str">
        <f t="shared" ref="D15:D40" si="0">IF(F15="Nam","Ông","Bà")</f>
        <v>Ông</v>
      </c>
      <c r="E15" s="1628" t="s">
        <v>15</v>
      </c>
      <c r="F15" s="1629" t="s">
        <v>378</v>
      </c>
      <c r="G15" s="1630" t="s">
        <v>270</v>
      </c>
      <c r="H15" s="1630" t="s">
        <v>359</v>
      </c>
      <c r="I15" s="1630" t="s">
        <v>348</v>
      </c>
      <c r="J15" s="599" t="s">
        <v>359</v>
      </c>
      <c r="K15" s="599" t="s">
        <v>321</v>
      </c>
      <c r="L15" s="599" t="s">
        <v>451</v>
      </c>
      <c r="M15" s="599" t="str">
        <f t="shared" ref="M15:M40" si="1">IF(L15="công chức","CC",IF(L15="viên chức","VC",IF(L15="người lao động","NLĐ","- - -")))</f>
        <v>VC</v>
      </c>
      <c r="N15" s="599"/>
      <c r="O15" s="599" t="str">
        <f t="shared" ref="O15:O40" si="2">IF(AND((Q15+0)&gt;0.3,(Q15+0)&lt;1.5),"CVụ","- -")</f>
        <v>CVụ</v>
      </c>
      <c r="P15" s="599" t="s">
        <v>390</v>
      </c>
      <c r="Q15" s="1628">
        <f>VLOOKUP(P15,'- DLiêu Gốc -'!$C$2:$H$115,2,0)</f>
        <v>1</v>
      </c>
      <c r="R15" s="1631"/>
      <c r="S15" s="601" t="s">
        <v>567</v>
      </c>
      <c r="T15" s="1632" t="str">
        <f>VLOOKUP(Y15,'- DLiêu Gốc -'!$C$2:$H$60,5,0)</f>
        <v>A2</v>
      </c>
      <c r="U15" s="1632" t="str">
        <f>VLOOKUP(Y15,'- DLiêu Gốc -'!$C$2:$H$60,6,0)</f>
        <v>A2.1</v>
      </c>
      <c r="V15" s="1632" t="s">
        <v>424</v>
      </c>
      <c r="W15" s="1633" t="str">
        <f t="shared" ref="W15:W40" si="3">IF(OR(Y15="Kỹ thuật viên đánh máy",Y15="Nhân viên đánh máy",Y15="Nhân viên kỹ thuật",Y15="Nhân viên văn thư",Y15="Nhân viên phục vụ",Y15="Lái xe cơ quan",Y15="Nhân viên bảo vệ"),"Nhân viên",Y15)</f>
        <v>Giảng viên chính (hạng II)</v>
      </c>
      <c r="X15" s="640" t="str">
        <f t="shared" ref="X15:X40" si="4">IF(W15="Nhân viên","01.005",Z15)</f>
        <v>V.07.01.02</v>
      </c>
      <c r="Y15" s="601" t="s">
        <v>431</v>
      </c>
      <c r="Z15" s="640" t="str">
        <f>VLOOKUP(Y15,'- DLiêu Gốc -'!$C$1:$H$133,2,0)</f>
        <v>V.07.01.02</v>
      </c>
      <c r="AA15" s="640" t="str">
        <f t="shared" ref="AA15:AA40" si="5">IF(OR(AND(BC15=36,BB15=3),AND(BC15=24,BB15=2),AND(BC15=12,BB15=1)),"Đến $",IF(OR(AND(BC15&gt;36,BB15=3),AND(BC15&gt;24,BB15=2),AND(BC15&gt;12,BB15=1)),"Dừng $","Lương"))</f>
        <v>Lương</v>
      </c>
      <c r="AB15" s="1634">
        <v>4</v>
      </c>
      <c r="AC15" s="635" t="s">
        <v>359</v>
      </c>
      <c r="AD15" s="635">
        <v>8</v>
      </c>
      <c r="AE15" s="1635">
        <f t="shared" ref="AE15:AE40" si="6">BD15+(AB15-1)*BE15</f>
        <v>5.42</v>
      </c>
      <c r="AF15" s="1636"/>
      <c r="AG15" s="601"/>
      <c r="AH15" s="1637"/>
      <c r="AI15" s="606" t="s">
        <v>359</v>
      </c>
      <c r="AJ15" s="1669" t="s">
        <v>341</v>
      </c>
      <c r="AK15" s="1639" t="s">
        <v>359</v>
      </c>
      <c r="AL15" s="1640">
        <v>2018</v>
      </c>
      <c r="AM15" s="1641"/>
      <c r="AN15" s="1642"/>
      <c r="AO15" s="1643">
        <f t="shared" ref="AO15:AO20" si="7">AB15+1</f>
        <v>5</v>
      </c>
      <c r="AP15" s="1644" t="str">
        <f t="shared" ref="AP15:AP20" si="8">IF(AD15=AB15,"%",IF(AD15&gt;AB15,"/"))</f>
        <v>/</v>
      </c>
      <c r="AQ15" s="1645">
        <f t="shared" ref="AQ15:AQ20" si="9">IF(AND(AD15=AB15,AO15=4),5,IF(AND(AD15=AB15,AO15&gt;4),AO15+1,IF(AD15&gt;AB15,AD15)))</f>
        <v>8</v>
      </c>
      <c r="AR15" s="1646">
        <f t="shared" ref="AR15:AR20" si="10">IF(AD15=AB15,"%",IF(AD15&gt;AB15,AE15+BE15))</f>
        <v>5.76</v>
      </c>
      <c r="AS15" s="601"/>
      <c r="AT15" s="1647" t="s">
        <v>341</v>
      </c>
      <c r="AU15" s="1648" t="s">
        <v>359</v>
      </c>
      <c r="AV15" s="1638" t="s">
        <v>341</v>
      </c>
      <c r="AW15" s="1645" t="s">
        <v>359</v>
      </c>
      <c r="AX15" s="1649">
        <v>2021</v>
      </c>
      <c r="AY15" s="1650"/>
      <c r="AZ15" s="1641"/>
      <c r="BA15" s="1651">
        <v>1.18</v>
      </c>
      <c r="BB15" s="1652">
        <f t="shared" ref="BB15:BB40" si="11">IF(AND(AD15&gt;AB15,OR(BE15=0.18,BE15=0.2)),2,IF(AND(AD15&gt;AB15,OR(BE15=0.31,BE15=0.33,BE15=0.34,BE15=0.36)),3,IF(AD15=AB15,1)))</f>
        <v>3</v>
      </c>
      <c r="BC15" s="1653">
        <f t="shared" ref="BC15:BC40" si="12">12*($AA$2-AX15)+($AA$3-AV15)-AM15</f>
        <v>-24253</v>
      </c>
      <c r="BD15" s="1653">
        <f>VLOOKUP(Y15,'- DLiêu Gốc -'!$C$1:$F$60,3,0)</f>
        <v>4.4000000000000004</v>
      </c>
      <c r="BE15" s="1654">
        <f>VLOOKUP(Y15,'- DLiêu Gốc -'!$C$1:$F$60,4,0)</f>
        <v>0.34</v>
      </c>
      <c r="BF15" s="1655" t="str">
        <f t="shared" ref="BF15:BF40" si="13">IF(AND(BG15&gt;3,BY15=12),"Đến %",IF(AND(BG15&gt;3,BY15&gt;12,BY15&lt;120),"Dừng %",IF(AND(BG15&gt;3,BY15&lt;12),"PCTN","o-o-o")))</f>
        <v>PCTN</v>
      </c>
      <c r="BG15" s="1656">
        <v>22</v>
      </c>
      <c r="BH15" s="1657" t="s">
        <v>332</v>
      </c>
      <c r="BI15" s="1658" t="s">
        <v>341</v>
      </c>
      <c r="BJ15" s="1659" t="s">
        <v>359</v>
      </c>
      <c r="BK15" s="1658">
        <v>10</v>
      </c>
      <c r="BL15" s="1642" t="s">
        <v>359</v>
      </c>
      <c r="BM15" s="1565">
        <v>2019</v>
      </c>
      <c r="BN15" s="1566"/>
      <c r="BO15" s="1655"/>
      <c r="BP15" s="1656">
        <f>IF(BG15&gt;3,BG15+1,0)</f>
        <v>23</v>
      </c>
      <c r="BQ15" s="1657" t="s">
        <v>332</v>
      </c>
      <c r="BR15" s="1658" t="s">
        <v>341</v>
      </c>
      <c r="BS15" s="1659" t="s">
        <v>359</v>
      </c>
      <c r="BT15" s="1658">
        <v>10</v>
      </c>
      <c r="BU15" s="1642" t="s">
        <v>359</v>
      </c>
      <c r="BV15" s="608">
        <v>2020</v>
      </c>
      <c r="BW15" s="1641"/>
      <c r="BX15" s="1654"/>
      <c r="BY15" s="1654">
        <f t="shared" ref="BY15:BY40" si="14">IF(BG15&gt;3,(($BF$2-BV15)*12+($BF$3-BT15)-BN15),"- - -")</f>
        <v>-24250</v>
      </c>
      <c r="BZ15" s="1642" t="str">
        <f t="shared" ref="BZ15:BZ33" si="15">IF(AND(CV15="Hưu",BG15&gt;3),12-(12*(DB15-BV15)+(DA15-BT15))-BN15,"- - -")</f>
        <v>- - -</v>
      </c>
      <c r="CA15" s="1660" t="str">
        <f t="shared" ref="CA15:CA40" si="16">IF(OR(S15="Ban Tổ chức - Cán bộ",S15="Văn phòng Học viện",S15="Phó Giám đốc Thường trực Học viện",S15="Phó Giám đốc Học viện"),"Chánh Văn phòng Học viện, Trưởng Ban Tổ chức - Cán bộ",IF(OR(S15="Trung tâm Ngoại ngữ",S15="Trung tâm Tin học hành chính và Công nghệ thông tin",S15="Trung tâm Tin học - Thư viện",S15="Phân viện khu vực Tây Nguyên"),"Chánh Văn phòng Học viện, Trưởng Ban Tổ chức - Cán bộ, "&amp;CONCATENATE("Giám đốc ",S15),IF(S15="Tạp chí Quản lý nhà nước","Chánh Văn phòng Học viện, Trưởng Ban Tổ chức - Cán bộ, "&amp;CONCATENATE("Tổng Biên tập ",S15),IF(S15="Văn phòng Đảng uỷ Học viện","Chánh Văn phòng Học viện, Trưởng Ban Tổ chức - Cán bộ, "&amp;CONCATENATE("Chánh",S15),IF(S15="Viện Nghiên cứu Khoa học hành chính","Chánh Văn phòng Học viện, Trưởng Ban Tổ chức - Cán bộ, "&amp;CONCATENATE("Viện Trưởng ",S15),IF(OR(S15="Cơ sở Học viện Hành chính Quốc gia khu vực miền Trung",S15="Cơ sở Học viện Hành chính Quốc gia tại Thành phố Hồ Chí Minh"),"Chánh Văn phòng Học viện, Trưởng Ban Tổ chức - Cán bộ, "&amp;CONCATENATE("Thủ trưởng ",S15),"Chánh Văn phòng Học viện, Trưởng Ban Tổ chức - Cán bộ, "&amp;CONCATENATE("Trưởng ",S15)))))))</f>
        <v>Chánh Văn phòng Học viện, Trưởng Ban Tổ chức - Cán bộ, Trưởng Trung tâm Ngoại ngữ - Tin học và Thông tin - Thư viện</v>
      </c>
      <c r="CB15" s="1652" t="str">
        <f t="shared" ref="CB15:CB40" si="17">IF(S15="Cơ sở Học viện Hành chính khu vực miền Trung","B",IF(S15="Phân viện Khu vực Tây Nguyên","C",IF(S15="Cơ sở Học viện Hành chính tại thành phố Hồ Chí Minh","D","A")))</f>
        <v>A</v>
      </c>
      <c r="CC15" s="1652" t="str">
        <f t="shared" ref="CC15:CC30" si="18">IF(AND(AO15&gt;0,AB15&lt;(AD15-1),CD15&gt;0,CD15&lt;13,OR(AND(CJ15="Cùg Ng",($CC$2-CF15)&gt;BB15),CJ15="- - -")),"Sớm TT","=&gt; s")</f>
        <v>=&gt; s</v>
      </c>
      <c r="CD15" s="1626">
        <f t="shared" ref="CD15:CD40" si="19">IF(BB15=3,36-(12*($CC$2-AX15)+(12-AV15)-AM15),IF(BB15=2,24-(12*($CC$2-AX15)+(12-AV15)-AM15),"---"))</f>
        <v>24277</v>
      </c>
      <c r="CE15" s="1626" t="str">
        <f t="shared" ref="CE15:CE40" si="20">IF(CF15&gt;1,"S","---")</f>
        <v>S</v>
      </c>
      <c r="CF15" s="1661">
        <v>2014</v>
      </c>
      <c r="CG15" s="1626" t="s">
        <v>428</v>
      </c>
      <c r="CI15" s="1626"/>
      <c r="CJ15" s="1641" t="str">
        <f t="shared" ref="CJ15:CJ40" si="21">IF(X15=CG15,"Cùg Ng","- - -")</f>
        <v>Cùg Ng</v>
      </c>
      <c r="CK15" s="1641" t="str">
        <f t="shared" ref="CK15:CK40" si="22">IF(CM15&gt;2000,"NN","- - -")</f>
        <v>NN</v>
      </c>
      <c r="CL15" s="1626">
        <v>7</v>
      </c>
      <c r="CM15" s="1641">
        <v>2012</v>
      </c>
      <c r="CN15" s="1641"/>
      <c r="CO15" s="1641"/>
      <c r="CP15" s="1641" t="str">
        <f t="shared" ref="CP15:CP40" si="23">IF(CR15&gt;2000,"CN","- - -")</f>
        <v>- - -</v>
      </c>
      <c r="CQ15" s="1626"/>
      <c r="CR15" s="1641"/>
      <c r="CS15" s="1641"/>
      <c r="CT15" s="1662"/>
      <c r="CU15" s="1574" t="str">
        <f t="shared" ref="CU15:CU32" si="24">IF(AND(CV15="Hưu",AB15&lt;(AD15-1),DC15&gt;0,DC15&lt;18,OR(BG15&lt;4,AND(BG15&gt;3,OR(BZ15&lt;3,BZ15&gt;5)))),"Lg Sớm",IF(AND(CV15="Hưu",AB15&gt;(AD15-2),OR(BE15=0.33,BE15=0.34),OR(BG15&lt;4,AND(BG15&gt;3,OR(BZ15&lt;3,BZ15&gt;5)))),"Nâng Ngạch",IF(AND(CV15="Hưu",BB15=1,DC15&gt;2,DC15&lt;6,OR(BG15&lt;4,AND(BG15&gt;3,OR(BZ15&lt;3,BZ15&gt;5)))),"Nâng PcVK cùng QĐ",IF(AND(CV15="Hưu",BG15&gt;3,BZ15&gt;2,BZ15&lt;6,AB15&lt;(AD15-1),DC15&gt;17,OR(BB15&gt;1,AND(BB15=1,OR(DC15&lt;3,DC15&gt;5)))),"Nâng PcNG cùng QĐ",IF(AND(CV15="Hưu",AB15&lt;(AD15-1),DC15&gt;0,DC15&lt;18,BG15&gt;3,BZ15&gt;2,BZ15&lt;6),"Nâng Lg Sớm +(PcNG cùng QĐ)",IF(AND(CV15="Hưu",AB15&gt;(AD15-2),OR(BE15=0.33,BE15=0.34),BG15&gt;3,BZ15&gt;2,BZ15&lt;6),"Nâng Ngạch +(PcNG cùng QĐ)",IF(AND(CV15="Hưu",BB15=1,DC15&gt;2,DC15&lt;6,BG15&gt;3,BZ15&gt;2,BZ15&lt;6),"Nâng (PcVK +PcNG) cùng QĐ",("---"))))))))</f>
        <v>---</v>
      </c>
      <c r="CV15" s="1661" t="str">
        <f t="shared" ref="CV15:CV40" si="25">IF(AND(DG15&gt;DF15,DG15&lt;(DF15+13)),"Hưu",IF(AND(DG15&gt;(DF15+12),DG15&lt;1000),"Quá","/-/ /-/"))</f>
        <v>/-/ /-/</v>
      </c>
      <c r="CW15" s="1661">
        <f t="shared" ref="CW15:CW40" si="26">IF((I15+0)&lt;12,(I15+0)+1,IF((I15+0)=12,1,IF((I15+0)&gt;12,(I15+0)-12)))</f>
        <v>10</v>
      </c>
      <c r="CX15" s="1661">
        <f t="shared" ref="CX15:CX40" si="27">IF(OR((I15+0)=12,(I15+0)&gt;12),K15+DF15/12+1,IF(AND((I15+0)&gt;0,(I15+0)&lt;12),K15+DF15/12,"---"))</f>
        <v>2033</v>
      </c>
      <c r="CY15" s="1661">
        <f t="shared" ref="CY15:CY40" si="28">IF(AND(CW15&gt;3,CW15&lt;13),CW15-3,IF(CW15&lt;4,CW15-3+12))</f>
        <v>7</v>
      </c>
      <c r="CZ15" s="1661">
        <f t="shared" ref="CZ15:CZ40" si="29">IF(CY15&lt;CW15,CX15,IF(CY15&gt;CW15,CX15-1))</f>
        <v>2033</v>
      </c>
      <c r="DA15" s="1661">
        <f t="shared" ref="DA15:DA40" si="30">IF(CW15&gt;6,CW15-6,IF(CW15=6,12,IF(CW15&lt;6,CW15+6)))</f>
        <v>4</v>
      </c>
      <c r="DB15" s="1663">
        <f t="shared" ref="DB15:DB40" si="31">IF(CW15&gt;6,CX15,IF(CW15&lt;7,CX15-1))</f>
        <v>2033</v>
      </c>
      <c r="DC15" s="1664" t="str">
        <f t="shared" ref="DC15:DC40" si="32">IF(AND(CV15="Hưu",BB15=3),36+AM15-(12*(DB15-AX15)+(DA15-AV15)),IF(AND(CV15="Hưu",BB15=2),24+AM15-(12*(DB15-AX15)+(DA15-AV15)),IF(AND(CV15="Hưu",BB15=1),12+AM15-(12*(DB15-AX15)+(DA15-AV15)),"- - -")))</f>
        <v>- - -</v>
      </c>
      <c r="DD15" s="1664" t="str">
        <f t="shared" ref="DD15:DD40" si="33">IF(DE15&gt;0,"K.Dài",". .")</f>
        <v>. .</v>
      </c>
      <c r="DE15" s="1652"/>
      <c r="DF15" s="1652">
        <f t="shared" ref="DF15:DF40" si="34">IF(F15="Nam",(60+DE15)*12,IF(F15="Nữ",(55+DE15)*12,))</f>
        <v>720</v>
      </c>
      <c r="DG15" s="1652">
        <f t="shared" ref="DG15:DG40" si="35">12*($CV$4-K15)+(12-I15)</f>
        <v>-23673</v>
      </c>
      <c r="DH15" s="1652">
        <f t="shared" ref="DH15:DH40" si="36">$DL$4-K15</f>
        <v>-1973</v>
      </c>
      <c r="DI15" s="1652" t="str">
        <f t="shared" ref="DI15:DI40" si="37">IF(AND(DH15&lt;35,F15="Nam"),"Nam dưới 35",IF(AND(DH15&lt;30,F15="Nữ"),"Nữ dưới 30",IF(AND(DH15&gt;34,DH15&lt;46,F15="Nam"),"Nam từ 35 - 45",IF(AND(DH15&gt;29,DH15&lt;41,F15="Nữ"),"Nữ từ 30 - 40",IF(AND(DH15&gt;45,DH15&lt;56,F15="Nam"),"Nam trên 45 - 55",IF(AND(DH15&gt;40,DH15&lt;51,F15="Nữ"),"Nữ trên 40 - 50",IF(AND(DH15&gt;55,F15="Nam"),"Nam trên 55","Nữ trên 50")))))))</f>
        <v>Nam dưới 35</v>
      </c>
      <c r="DJ15" s="1652"/>
      <c r="DK15" s="1654"/>
      <c r="DL15" s="1641" t="str">
        <f t="shared" ref="DL15:DL40" si="38">IF(DH15&lt;31,"Đến 30",IF(AND(DH15&gt;30,DH15&lt;46),"31 - 45",IF(AND(DH15&gt;45,DH15&lt;70),"Trên 45")))</f>
        <v>Đến 30</v>
      </c>
      <c r="DM15" s="1626" t="str">
        <f t="shared" ref="DM15:DM28" si="39">IF(DN15&gt;0,"TD","--")</f>
        <v>--</v>
      </c>
      <c r="DN15" s="1626"/>
      <c r="DO15" s="1626"/>
      <c r="DP15" s="1626"/>
      <c r="DQ15" s="1641"/>
      <c r="DR15" s="1641"/>
      <c r="DS15" s="1665"/>
      <c r="DT15" s="1666"/>
      <c r="DU15" s="1642"/>
      <c r="DV15" s="1665"/>
      <c r="DW15" s="1637"/>
      <c r="DX15" s="1667" t="s">
        <v>107</v>
      </c>
      <c r="DY15" s="1667"/>
      <c r="DZ15" s="1667" t="s">
        <v>341</v>
      </c>
      <c r="EA15" s="1668" t="s">
        <v>359</v>
      </c>
      <c r="EB15" s="1667" t="s">
        <v>347</v>
      </c>
      <c r="EC15" s="1626" t="s">
        <v>359</v>
      </c>
      <c r="ED15" s="1637">
        <v>2012</v>
      </c>
      <c r="EE15" s="1667">
        <f t="shared" ref="EE15:EE40" si="40">(DZ15+0)-(EG15+0)</f>
        <v>0</v>
      </c>
      <c r="EF15" s="1667" t="str">
        <f t="shared" ref="EF15:EF40" si="41">IF(EE15&gt;0,"Sửa","- - -")</f>
        <v>- - -</v>
      </c>
      <c r="EG15" s="1667" t="s">
        <v>341</v>
      </c>
      <c r="EH15" s="1668" t="s">
        <v>359</v>
      </c>
      <c r="EI15" s="1626" t="s">
        <v>347</v>
      </c>
      <c r="EJ15" s="1641" t="s">
        <v>359</v>
      </c>
      <c r="EK15" s="1663">
        <v>2012</v>
      </c>
      <c r="EL15" s="1642">
        <v>3.99</v>
      </c>
      <c r="EM15" s="1661" t="str">
        <f t="shared" ref="EM15:EM30" si="42">IF(AND(BE15&gt;0.34,AO15=1,OR(BD15=6.2,BD15=5.75)),((BD15-EL15)-2*0.34),IF(AND(BE15&gt;0.33,AO15=1,OR(BD15=4.4,BD15=4)),((BD15-EL15)-2*0.33),"- - -"))</f>
        <v>- - -</v>
      </c>
      <c r="EN15" s="1661" t="str">
        <f t="shared" ref="EN15:EN40" si="43">IF(CV15="Hưu",12*(DB15-AX15)+(DA15-AV15),"---")</f>
        <v>---</v>
      </c>
    </row>
    <row r="16" spans="1:144" s="1661" customFormat="1" ht="33.75" customHeight="1" x14ac:dyDescent="0.2">
      <c r="A16" s="1626">
        <v>46</v>
      </c>
      <c r="B16" s="1627">
        <v>2</v>
      </c>
      <c r="C16" s="1626"/>
      <c r="D16" s="1626" t="str">
        <f t="shared" si="0"/>
        <v>Ông</v>
      </c>
      <c r="E16" s="1628" t="s">
        <v>301</v>
      </c>
      <c r="F16" s="1629" t="s">
        <v>378</v>
      </c>
      <c r="G16" s="1630" t="s">
        <v>273</v>
      </c>
      <c r="H16" s="1630" t="s">
        <v>359</v>
      </c>
      <c r="I16" s="1630" t="s">
        <v>343</v>
      </c>
      <c r="J16" s="599" t="s">
        <v>359</v>
      </c>
      <c r="K16" s="599">
        <v>1978</v>
      </c>
      <c r="L16" s="599" t="s">
        <v>434</v>
      </c>
      <c r="M16" s="599" t="str">
        <f t="shared" si="1"/>
        <v>NLĐ</v>
      </c>
      <c r="N16" s="599"/>
      <c r="O16" s="599" t="e">
        <f t="shared" si="2"/>
        <v>#N/A</v>
      </c>
      <c r="P16" s="599"/>
      <c r="Q16" s="1628" t="e">
        <f>VLOOKUP(P16,'- DLiêu Gốc -'!$C$2:$H$115,2,0)</f>
        <v>#N/A</v>
      </c>
      <c r="R16" s="1631" t="s">
        <v>573</v>
      </c>
      <c r="S16" s="601" t="s">
        <v>570</v>
      </c>
      <c r="T16" s="1632" t="str">
        <f>VLOOKUP(Y16,'- DLiêu Gốc -'!$C$2:$H$60,5,0)</f>
        <v>A1</v>
      </c>
      <c r="U16" s="1632" t="str">
        <f>VLOOKUP(Y16,'- DLiêu Gốc -'!$C$2:$H$60,6,0)</f>
        <v>- - -</v>
      </c>
      <c r="V16" s="1632" t="s">
        <v>425</v>
      </c>
      <c r="W16" s="1633" t="str">
        <f t="shared" si="3"/>
        <v>Chuyên viên</v>
      </c>
      <c r="X16" s="640" t="str">
        <f t="shared" si="4"/>
        <v>01.003</v>
      </c>
      <c r="Y16" s="601" t="s">
        <v>339</v>
      </c>
      <c r="Z16" s="640" t="str">
        <f>VLOOKUP(Y16,'- DLiêu Gốc -'!$C$1:$H$133,2,0)</f>
        <v>01.003</v>
      </c>
      <c r="AA16" s="640" t="str">
        <f t="shared" si="5"/>
        <v>Lương</v>
      </c>
      <c r="AB16" s="1634">
        <v>5</v>
      </c>
      <c r="AC16" s="635" t="s">
        <v>359</v>
      </c>
      <c r="AD16" s="635">
        <v>9</v>
      </c>
      <c r="AE16" s="1635">
        <f t="shared" si="6"/>
        <v>3.66</v>
      </c>
      <c r="AF16" s="1636"/>
      <c r="AG16" s="601"/>
      <c r="AH16" s="1637"/>
      <c r="AI16" s="606" t="s">
        <v>359</v>
      </c>
      <c r="AJ16" s="1669" t="s">
        <v>341</v>
      </c>
      <c r="AK16" s="1639" t="s">
        <v>359</v>
      </c>
      <c r="AL16" s="1640">
        <v>2018</v>
      </c>
      <c r="AM16" s="1641"/>
      <c r="AN16" s="1642"/>
      <c r="AO16" s="1643">
        <f t="shared" si="7"/>
        <v>6</v>
      </c>
      <c r="AP16" s="1644" t="str">
        <f t="shared" si="8"/>
        <v>/</v>
      </c>
      <c r="AQ16" s="1645">
        <f t="shared" si="9"/>
        <v>9</v>
      </c>
      <c r="AR16" s="1646">
        <f t="shared" si="10"/>
        <v>3.99</v>
      </c>
      <c r="AS16" s="601"/>
      <c r="AT16" s="1647" t="s">
        <v>341</v>
      </c>
      <c r="AU16" s="1648" t="s">
        <v>359</v>
      </c>
      <c r="AV16" s="1638" t="s">
        <v>341</v>
      </c>
      <c r="AW16" s="1645" t="s">
        <v>359</v>
      </c>
      <c r="AX16" s="1649">
        <v>2021</v>
      </c>
      <c r="AY16" s="1650"/>
      <c r="AZ16" s="1641"/>
      <c r="BA16" s="1651">
        <v>1.18</v>
      </c>
      <c r="BB16" s="1652">
        <f t="shared" si="11"/>
        <v>3</v>
      </c>
      <c r="BC16" s="1653">
        <f t="shared" si="12"/>
        <v>-24253</v>
      </c>
      <c r="BD16" s="1653">
        <f>VLOOKUP(Y16,'- DLiêu Gốc -'!$C$1:$F$60,3,0)</f>
        <v>2.34</v>
      </c>
      <c r="BE16" s="1654">
        <f>VLOOKUP(Y16,'- DLiêu Gốc -'!$C$1:$F$60,4,0)</f>
        <v>0.33</v>
      </c>
      <c r="BF16" s="1655" t="str">
        <f t="shared" si="13"/>
        <v>o-o-o</v>
      </c>
      <c r="BG16" s="1656"/>
      <c r="BH16" s="1657"/>
      <c r="BI16" s="1658"/>
      <c r="BJ16" s="1659"/>
      <c r="BK16" s="1658"/>
      <c r="BL16" s="1642"/>
      <c r="BM16" s="1565"/>
      <c r="BN16" s="1566"/>
      <c r="BO16" s="1655"/>
      <c r="BP16" s="1656"/>
      <c r="BQ16" s="1657"/>
      <c r="BR16" s="1658"/>
      <c r="BS16" s="1659"/>
      <c r="BT16" s="1658"/>
      <c r="BU16" s="1642"/>
      <c r="BV16" s="608"/>
      <c r="BW16" s="1641"/>
      <c r="BX16" s="1654"/>
      <c r="BY16" s="1654" t="str">
        <f t="shared" si="14"/>
        <v>- - -</v>
      </c>
      <c r="BZ16" s="1642" t="str">
        <f t="shared" si="15"/>
        <v>- - -</v>
      </c>
      <c r="CA16" s="1660" t="str">
        <f t="shared" si="16"/>
        <v>Chánh Văn phòng Học viện, Trưởng Ban Tổ chức - Cán bộ, Trưởng Ban Tổ chức cán bộ</v>
      </c>
      <c r="CB16" s="1652" t="str">
        <f t="shared" si="17"/>
        <v>A</v>
      </c>
      <c r="CC16" s="1652" t="str">
        <f t="shared" si="18"/>
        <v>=&gt; s</v>
      </c>
      <c r="CD16" s="1626">
        <f t="shared" si="19"/>
        <v>24277</v>
      </c>
      <c r="CE16" s="1626" t="str">
        <f t="shared" si="20"/>
        <v>---</v>
      </c>
      <c r="CG16" s="1626"/>
      <c r="CI16" s="1626"/>
      <c r="CJ16" s="1641" t="str">
        <f t="shared" si="21"/>
        <v>- - -</v>
      </c>
      <c r="CK16" s="1641" t="str">
        <f t="shared" si="22"/>
        <v>- - -</v>
      </c>
      <c r="CL16" s="1626"/>
      <c r="CM16" s="1641"/>
      <c r="CN16" s="1641"/>
      <c r="CO16" s="1641"/>
      <c r="CP16" s="1641" t="str">
        <f t="shared" si="23"/>
        <v>- - -</v>
      </c>
      <c r="CQ16" s="1626"/>
      <c r="CR16" s="1641"/>
      <c r="CS16" s="1641"/>
      <c r="CT16" s="1662"/>
      <c r="CU16" s="1574" t="str">
        <f t="shared" si="24"/>
        <v>---</v>
      </c>
      <c r="CV16" s="1661" t="str">
        <f t="shared" si="25"/>
        <v>/-/ /-/</v>
      </c>
      <c r="CW16" s="1661">
        <f t="shared" si="26"/>
        <v>6</v>
      </c>
      <c r="CX16" s="1661">
        <f t="shared" si="27"/>
        <v>2038</v>
      </c>
      <c r="CY16" s="1661">
        <f t="shared" si="28"/>
        <v>3</v>
      </c>
      <c r="CZ16" s="1661">
        <f t="shared" si="29"/>
        <v>2038</v>
      </c>
      <c r="DA16" s="1661">
        <f t="shared" si="30"/>
        <v>12</v>
      </c>
      <c r="DB16" s="1663">
        <f t="shared" si="31"/>
        <v>2037</v>
      </c>
      <c r="DC16" s="1664" t="str">
        <f t="shared" si="32"/>
        <v>- - -</v>
      </c>
      <c r="DD16" s="1664" t="str">
        <f t="shared" si="33"/>
        <v>. .</v>
      </c>
      <c r="DE16" s="1652"/>
      <c r="DF16" s="1652">
        <f t="shared" si="34"/>
        <v>720</v>
      </c>
      <c r="DG16" s="1652">
        <f t="shared" si="35"/>
        <v>-23729</v>
      </c>
      <c r="DH16" s="1652">
        <f t="shared" si="36"/>
        <v>-1978</v>
      </c>
      <c r="DI16" s="1652" t="str">
        <f t="shared" si="37"/>
        <v>Nam dưới 35</v>
      </c>
      <c r="DJ16" s="1652"/>
      <c r="DK16" s="1654"/>
      <c r="DL16" s="1641" t="str">
        <f t="shared" si="38"/>
        <v>Đến 30</v>
      </c>
      <c r="DM16" s="1626" t="str">
        <f t="shared" si="39"/>
        <v>--</v>
      </c>
      <c r="DN16" s="1626"/>
      <c r="DO16" s="1626"/>
      <c r="DP16" s="1626"/>
      <c r="DQ16" s="1641"/>
      <c r="DR16" s="1641"/>
      <c r="DS16" s="1665"/>
      <c r="DT16" s="1666"/>
      <c r="DU16" s="1642"/>
      <c r="DV16" s="1665"/>
      <c r="DW16" s="1637" t="s">
        <v>337</v>
      </c>
      <c r="DX16" s="1667" t="s">
        <v>107</v>
      </c>
      <c r="DY16" s="1667" t="s">
        <v>337</v>
      </c>
      <c r="DZ16" s="1667" t="s">
        <v>341</v>
      </c>
      <c r="EA16" s="1668" t="s">
        <v>359</v>
      </c>
      <c r="EB16" s="1667" t="s">
        <v>341</v>
      </c>
      <c r="EC16" s="1626" t="s">
        <v>359</v>
      </c>
      <c r="ED16" s="1637" t="s">
        <v>377</v>
      </c>
      <c r="EE16" s="1667">
        <f t="shared" si="40"/>
        <v>0</v>
      </c>
      <c r="EF16" s="1667" t="str">
        <f t="shared" si="41"/>
        <v>- - -</v>
      </c>
      <c r="EG16" s="1667" t="s">
        <v>341</v>
      </c>
      <c r="EH16" s="1668" t="s">
        <v>359</v>
      </c>
      <c r="EI16" s="1626" t="s">
        <v>341</v>
      </c>
      <c r="EJ16" s="1641" t="s">
        <v>359</v>
      </c>
      <c r="EK16" s="1663" t="s">
        <v>377</v>
      </c>
      <c r="EL16" s="1642"/>
      <c r="EM16" s="1661" t="str">
        <f t="shared" si="42"/>
        <v>- - -</v>
      </c>
      <c r="EN16" s="1661" t="str">
        <f t="shared" si="43"/>
        <v>---</v>
      </c>
    </row>
    <row r="17" spans="1:144" s="1661" customFormat="1" ht="33.75" customHeight="1" x14ac:dyDescent="0.2">
      <c r="A17" s="1626">
        <v>173</v>
      </c>
      <c r="B17" s="1627">
        <v>3</v>
      </c>
      <c r="C17" s="1626"/>
      <c r="D17" s="1626" t="str">
        <f t="shared" si="0"/>
        <v>Bà</v>
      </c>
      <c r="E17" s="1628" t="s">
        <v>286</v>
      </c>
      <c r="F17" s="1629" t="s">
        <v>380</v>
      </c>
      <c r="G17" s="1630" t="s">
        <v>342</v>
      </c>
      <c r="H17" s="1630" t="s">
        <v>359</v>
      </c>
      <c r="I17" s="1630">
        <v>5</v>
      </c>
      <c r="J17" s="599" t="s">
        <v>359</v>
      </c>
      <c r="K17" s="599">
        <v>1979</v>
      </c>
      <c r="L17" s="599" t="s">
        <v>451</v>
      </c>
      <c r="M17" s="599" t="str">
        <f t="shared" si="1"/>
        <v>VC</v>
      </c>
      <c r="N17" s="599"/>
      <c r="O17" s="599" t="str">
        <f t="shared" si="2"/>
        <v>CVụ</v>
      </c>
      <c r="P17" s="599" t="s">
        <v>249</v>
      </c>
      <c r="Q17" s="1628">
        <f>VLOOKUP(P17,'- DLiêu Gốc -'!$C$2:$H$115,2,0)</f>
        <v>0.6</v>
      </c>
      <c r="R17" s="1631" t="s">
        <v>628</v>
      </c>
      <c r="S17" s="601" t="s">
        <v>564</v>
      </c>
      <c r="T17" s="1632" t="str">
        <f>VLOOKUP(Y17,'- DLiêu Gốc -'!$C$2:$H$60,5,0)</f>
        <v>A1</v>
      </c>
      <c r="U17" s="1632" t="str">
        <f>VLOOKUP(Y17,'- DLiêu Gốc -'!$C$2:$H$60,6,0)</f>
        <v>- - -</v>
      </c>
      <c r="V17" s="1632" t="s">
        <v>424</v>
      </c>
      <c r="W17" s="1633" t="str">
        <f t="shared" si="3"/>
        <v>Giảng viên (hạng III)</v>
      </c>
      <c r="X17" s="640" t="str">
        <f t="shared" si="4"/>
        <v>V.07.01.03</v>
      </c>
      <c r="Y17" s="601" t="s">
        <v>430</v>
      </c>
      <c r="Z17" s="640" t="str">
        <f>VLOOKUP(Y17,'- DLiêu Gốc -'!$C$1:$H$133,2,0)</f>
        <v>V.07.01.03</v>
      </c>
      <c r="AA17" s="640" t="str">
        <f t="shared" si="5"/>
        <v>Lương</v>
      </c>
      <c r="AB17" s="1634">
        <v>6</v>
      </c>
      <c r="AC17" s="635" t="s">
        <v>359</v>
      </c>
      <c r="AD17" s="635">
        <v>9</v>
      </c>
      <c r="AE17" s="1635">
        <f t="shared" si="6"/>
        <v>3.99</v>
      </c>
      <c r="AF17" s="1636"/>
      <c r="AG17" s="601"/>
      <c r="AH17" s="1637"/>
      <c r="AI17" s="606" t="s">
        <v>359</v>
      </c>
      <c r="AJ17" s="1669" t="s">
        <v>341</v>
      </c>
      <c r="AK17" s="1639" t="s">
        <v>359</v>
      </c>
      <c r="AL17" s="1640">
        <v>2018</v>
      </c>
      <c r="AM17" s="1641"/>
      <c r="AN17" s="1642"/>
      <c r="AO17" s="1643">
        <f t="shared" si="7"/>
        <v>7</v>
      </c>
      <c r="AP17" s="1644" t="str">
        <f t="shared" si="8"/>
        <v>/</v>
      </c>
      <c r="AQ17" s="1645">
        <f t="shared" si="9"/>
        <v>9</v>
      </c>
      <c r="AR17" s="1646">
        <f t="shared" si="10"/>
        <v>4.32</v>
      </c>
      <c r="AS17" s="601"/>
      <c r="AT17" s="1647" t="s">
        <v>341</v>
      </c>
      <c r="AU17" s="1648" t="s">
        <v>359</v>
      </c>
      <c r="AV17" s="1638" t="s">
        <v>341</v>
      </c>
      <c r="AW17" s="1645" t="s">
        <v>359</v>
      </c>
      <c r="AX17" s="1649">
        <v>2021</v>
      </c>
      <c r="AY17" s="1650"/>
      <c r="AZ17" s="1641"/>
      <c r="BA17" s="1651">
        <v>1.18</v>
      </c>
      <c r="BB17" s="1652">
        <f t="shared" si="11"/>
        <v>3</v>
      </c>
      <c r="BC17" s="1653">
        <f t="shared" si="12"/>
        <v>-24253</v>
      </c>
      <c r="BD17" s="1653">
        <f>VLOOKUP(Y17,'- DLiêu Gốc -'!$C$1:$F$60,3,0)</f>
        <v>2.34</v>
      </c>
      <c r="BE17" s="1654">
        <f>VLOOKUP(Y17,'- DLiêu Gốc -'!$C$1:$F$60,4,0)</f>
        <v>0.33</v>
      </c>
      <c r="BF17" s="1655" t="str">
        <f t="shared" si="13"/>
        <v>PCTN</v>
      </c>
      <c r="BG17" s="1656">
        <v>16</v>
      </c>
      <c r="BH17" s="1657" t="s">
        <v>332</v>
      </c>
      <c r="BI17" s="1658" t="s">
        <v>341</v>
      </c>
      <c r="BJ17" s="1659" t="s">
        <v>359</v>
      </c>
      <c r="BK17" s="1658">
        <v>5</v>
      </c>
      <c r="BL17" s="1642" t="s">
        <v>359</v>
      </c>
      <c r="BM17" s="1565">
        <v>2019</v>
      </c>
      <c r="BN17" s="1566"/>
      <c r="BO17" s="1655"/>
      <c r="BP17" s="1656">
        <f>IF(BG17&gt;3,BG17+1,0)</f>
        <v>17</v>
      </c>
      <c r="BQ17" s="1657" t="s">
        <v>332</v>
      </c>
      <c r="BR17" s="1658" t="s">
        <v>341</v>
      </c>
      <c r="BS17" s="1659" t="s">
        <v>359</v>
      </c>
      <c r="BT17" s="1658">
        <v>5</v>
      </c>
      <c r="BU17" s="1642" t="s">
        <v>359</v>
      </c>
      <c r="BV17" s="608">
        <v>2020</v>
      </c>
      <c r="BW17" s="1641"/>
      <c r="BX17" s="1654">
        <v>5</v>
      </c>
      <c r="BY17" s="1654">
        <f t="shared" si="14"/>
        <v>-24245</v>
      </c>
      <c r="BZ17" s="1642" t="str">
        <f t="shared" si="15"/>
        <v>- - -</v>
      </c>
      <c r="CA17" s="1660" t="str">
        <f t="shared" si="16"/>
        <v>Chánh Văn phòng Học viện, Trưởng Ban Tổ chức - Cán bộ, Trưởng Khoa Khoa học hành chính và Tổ chức nhân sự</v>
      </c>
      <c r="CB17" s="1652" t="str">
        <f t="shared" si="17"/>
        <v>A</v>
      </c>
      <c r="CC17" s="1652" t="str">
        <f t="shared" si="18"/>
        <v>=&gt; s</v>
      </c>
      <c r="CD17" s="1626">
        <f t="shared" si="19"/>
        <v>24277</v>
      </c>
      <c r="CE17" s="1626" t="str">
        <f t="shared" si="20"/>
        <v>---</v>
      </c>
      <c r="CG17" s="1626"/>
      <c r="CI17" s="1626"/>
      <c r="CJ17" s="1641" t="str">
        <f t="shared" si="21"/>
        <v>- - -</v>
      </c>
      <c r="CK17" s="1641" t="str">
        <f t="shared" si="22"/>
        <v>- - -</v>
      </c>
      <c r="CL17" s="1626"/>
      <c r="CM17" s="1641"/>
      <c r="CN17" s="1641"/>
      <c r="CO17" s="1641"/>
      <c r="CP17" s="1641" t="str">
        <f t="shared" si="23"/>
        <v>- - -</v>
      </c>
      <c r="CQ17" s="1626"/>
      <c r="CR17" s="1641"/>
      <c r="CS17" s="1641"/>
      <c r="CT17" s="1662"/>
      <c r="CU17" s="1574" t="str">
        <f t="shared" si="24"/>
        <v>---</v>
      </c>
      <c r="CV17" s="1661" t="str">
        <f t="shared" si="25"/>
        <v>/-/ /-/</v>
      </c>
      <c r="CW17" s="1661">
        <f t="shared" si="26"/>
        <v>6</v>
      </c>
      <c r="CX17" s="1661">
        <f t="shared" si="27"/>
        <v>2034</v>
      </c>
      <c r="CY17" s="1661">
        <f t="shared" si="28"/>
        <v>3</v>
      </c>
      <c r="CZ17" s="1661">
        <f t="shared" si="29"/>
        <v>2034</v>
      </c>
      <c r="DA17" s="1661">
        <f t="shared" si="30"/>
        <v>12</v>
      </c>
      <c r="DB17" s="1663">
        <f t="shared" si="31"/>
        <v>2033</v>
      </c>
      <c r="DC17" s="1664" t="str">
        <f t="shared" si="32"/>
        <v>- - -</v>
      </c>
      <c r="DD17" s="1664" t="str">
        <f t="shared" si="33"/>
        <v>. .</v>
      </c>
      <c r="DE17" s="1652"/>
      <c r="DF17" s="1652">
        <f t="shared" si="34"/>
        <v>660</v>
      </c>
      <c r="DG17" s="1652">
        <f t="shared" si="35"/>
        <v>-23741</v>
      </c>
      <c r="DH17" s="1652">
        <f t="shared" si="36"/>
        <v>-1979</v>
      </c>
      <c r="DI17" s="1652" t="str">
        <f t="shared" si="37"/>
        <v>Nữ dưới 30</v>
      </c>
      <c r="DJ17" s="1652"/>
      <c r="DK17" s="1654"/>
      <c r="DL17" s="1641" t="str">
        <f t="shared" si="38"/>
        <v>Đến 30</v>
      </c>
      <c r="DM17" s="1626" t="str">
        <f t="shared" si="39"/>
        <v>--</v>
      </c>
      <c r="DN17" s="1626"/>
      <c r="DO17" s="1626"/>
      <c r="DP17" s="1626"/>
      <c r="DQ17" s="1641"/>
      <c r="DR17" s="1641"/>
      <c r="DS17" s="1665"/>
      <c r="DT17" s="1666"/>
      <c r="DU17" s="1642"/>
      <c r="DV17" s="1665"/>
      <c r="DW17" s="1637" t="s">
        <v>467</v>
      </c>
      <c r="DX17" s="1667" t="s">
        <v>118</v>
      </c>
      <c r="DY17" s="1667" t="s">
        <v>315</v>
      </c>
      <c r="DZ17" s="1667" t="s">
        <v>341</v>
      </c>
      <c r="EA17" s="1668" t="s">
        <v>359</v>
      </c>
      <c r="EB17" s="1667" t="s">
        <v>341</v>
      </c>
      <c r="EC17" s="1626" t="s">
        <v>359</v>
      </c>
      <c r="ED17" s="1637" t="s">
        <v>377</v>
      </c>
      <c r="EE17" s="1667">
        <f t="shared" si="40"/>
        <v>0</v>
      </c>
      <c r="EF17" s="1667" t="str">
        <f t="shared" si="41"/>
        <v>- - -</v>
      </c>
      <c r="EG17" s="1667" t="s">
        <v>341</v>
      </c>
      <c r="EH17" s="1668" t="s">
        <v>359</v>
      </c>
      <c r="EI17" s="1626" t="s">
        <v>341</v>
      </c>
      <c r="EJ17" s="1641" t="s">
        <v>359</v>
      </c>
      <c r="EK17" s="1663" t="s">
        <v>377</v>
      </c>
      <c r="EL17" s="1642"/>
      <c r="EM17" s="1661" t="str">
        <f t="shared" si="42"/>
        <v>- - -</v>
      </c>
      <c r="EN17" s="1661" t="str">
        <f t="shared" si="43"/>
        <v>---</v>
      </c>
    </row>
    <row r="18" spans="1:144" s="1661" customFormat="1" ht="33.75" customHeight="1" x14ac:dyDescent="0.2">
      <c r="A18" s="1626">
        <v>210</v>
      </c>
      <c r="B18" s="1627">
        <v>4</v>
      </c>
      <c r="C18" s="1626" t="s">
        <v>387</v>
      </c>
      <c r="D18" s="1626" t="str">
        <f t="shared" si="0"/>
        <v>Ông</v>
      </c>
      <c r="E18" s="1628" t="s">
        <v>471</v>
      </c>
      <c r="F18" s="1629" t="s">
        <v>378</v>
      </c>
      <c r="G18" s="1630" t="s">
        <v>399</v>
      </c>
      <c r="H18" s="1630" t="s">
        <v>359</v>
      </c>
      <c r="I18" s="1630" t="s">
        <v>344</v>
      </c>
      <c r="J18" s="599" t="s">
        <v>359</v>
      </c>
      <c r="K18" s="599">
        <v>1969</v>
      </c>
      <c r="L18" s="599" t="s">
        <v>451</v>
      </c>
      <c r="M18" s="599" t="str">
        <f t="shared" si="1"/>
        <v>VC</v>
      </c>
      <c r="N18" s="599"/>
      <c r="O18" s="599" t="str">
        <f t="shared" si="2"/>
        <v>CVụ</v>
      </c>
      <c r="P18" s="599" t="s">
        <v>250</v>
      </c>
      <c r="Q18" s="1628">
        <f>VLOOKUP(P18,'- DLiêu Gốc -'!$C$2:$H$115,2,0)</f>
        <v>0.4</v>
      </c>
      <c r="R18" s="1631" t="s">
        <v>131</v>
      </c>
      <c r="S18" s="601" t="s">
        <v>562</v>
      </c>
      <c r="T18" s="1632" t="str">
        <f>VLOOKUP(Y18,'- DLiêu Gốc -'!$C$2:$H$60,5,0)</f>
        <v>A2</v>
      </c>
      <c r="U18" s="1632" t="str">
        <f>VLOOKUP(Y18,'- DLiêu Gốc -'!$C$2:$H$60,6,0)</f>
        <v>A2.1</v>
      </c>
      <c r="V18" s="1632" t="s">
        <v>424</v>
      </c>
      <c r="W18" s="1633" t="str">
        <f t="shared" si="3"/>
        <v>Giảng viên chính (hạng II)</v>
      </c>
      <c r="X18" s="640" t="str">
        <f t="shared" si="4"/>
        <v>V.07.01.02</v>
      </c>
      <c r="Y18" s="601" t="s">
        <v>431</v>
      </c>
      <c r="Z18" s="640" t="str">
        <f>VLOOKUP(Y18,'- DLiêu Gốc -'!$C$1:$H$133,2,0)</f>
        <v>V.07.01.02</v>
      </c>
      <c r="AA18" s="640" t="str">
        <f t="shared" si="5"/>
        <v>Lương</v>
      </c>
      <c r="AB18" s="1634">
        <v>4</v>
      </c>
      <c r="AC18" s="635" t="s">
        <v>359</v>
      </c>
      <c r="AD18" s="635">
        <v>8</v>
      </c>
      <c r="AE18" s="1635">
        <f t="shared" si="6"/>
        <v>5.42</v>
      </c>
      <c r="AF18" s="1636"/>
      <c r="AG18" s="601"/>
      <c r="AH18" s="1637"/>
      <c r="AI18" s="606" t="s">
        <v>359</v>
      </c>
      <c r="AJ18" s="1669" t="s">
        <v>341</v>
      </c>
      <c r="AK18" s="1639" t="s">
        <v>359</v>
      </c>
      <c r="AL18" s="1640">
        <v>2018</v>
      </c>
      <c r="AM18" s="1641"/>
      <c r="AN18" s="1642"/>
      <c r="AO18" s="1643">
        <f t="shared" si="7"/>
        <v>5</v>
      </c>
      <c r="AP18" s="1644" t="str">
        <f t="shared" si="8"/>
        <v>/</v>
      </c>
      <c r="AQ18" s="1645">
        <f t="shared" si="9"/>
        <v>8</v>
      </c>
      <c r="AR18" s="1646">
        <f t="shared" si="10"/>
        <v>5.76</v>
      </c>
      <c r="AS18" s="601"/>
      <c r="AT18" s="1647" t="s">
        <v>341</v>
      </c>
      <c r="AU18" s="1648" t="s">
        <v>359</v>
      </c>
      <c r="AV18" s="1638" t="s">
        <v>341</v>
      </c>
      <c r="AW18" s="1645" t="s">
        <v>359</v>
      </c>
      <c r="AX18" s="1649">
        <v>2021</v>
      </c>
      <c r="AY18" s="1650"/>
      <c r="AZ18" s="1641"/>
      <c r="BA18" s="1651">
        <v>1.18</v>
      </c>
      <c r="BB18" s="1652">
        <f t="shared" si="11"/>
        <v>3</v>
      </c>
      <c r="BC18" s="1653">
        <f t="shared" si="12"/>
        <v>-24253</v>
      </c>
      <c r="BD18" s="1653">
        <f>VLOOKUP(Y18,'- DLiêu Gốc -'!$C$1:$F$60,3,0)</f>
        <v>4.4000000000000004</v>
      </c>
      <c r="BE18" s="1654">
        <f>VLOOKUP(Y18,'- DLiêu Gốc -'!$C$1:$F$60,4,0)</f>
        <v>0.34</v>
      </c>
      <c r="BF18" s="1655" t="str">
        <f t="shared" si="13"/>
        <v>PCTN</v>
      </c>
      <c r="BG18" s="1656">
        <v>27</v>
      </c>
      <c r="BH18" s="1657" t="s">
        <v>332</v>
      </c>
      <c r="BI18" s="1658" t="s">
        <v>341</v>
      </c>
      <c r="BJ18" s="1659" t="s">
        <v>359</v>
      </c>
      <c r="BK18" s="1658" t="s">
        <v>348</v>
      </c>
      <c r="BL18" s="1642" t="s">
        <v>359</v>
      </c>
      <c r="BM18" s="1565">
        <v>2019</v>
      </c>
      <c r="BN18" s="1566"/>
      <c r="BO18" s="1655"/>
      <c r="BP18" s="1656">
        <f>IF(BG18&gt;3,BG18+1,0)</f>
        <v>28</v>
      </c>
      <c r="BQ18" s="1657" t="s">
        <v>332</v>
      </c>
      <c r="BR18" s="1658" t="s">
        <v>341</v>
      </c>
      <c r="BS18" s="1659" t="s">
        <v>359</v>
      </c>
      <c r="BT18" s="1658" t="s">
        <v>348</v>
      </c>
      <c r="BU18" s="1642" t="s">
        <v>359</v>
      </c>
      <c r="BV18" s="608">
        <v>2020</v>
      </c>
      <c r="BW18" s="1641"/>
      <c r="BX18" s="1654"/>
      <c r="BY18" s="1654">
        <f t="shared" si="14"/>
        <v>-24249</v>
      </c>
      <c r="BZ18" s="1642" t="str">
        <f t="shared" si="15"/>
        <v>- - -</v>
      </c>
      <c r="CA18" s="1660" t="str">
        <f t="shared" si="16"/>
        <v>Chánh Văn phòng Học viện, Trưởng Ban Tổ chức - Cán bộ, Trưởng Khoa Nhà nước - Pháp luật và Lý luận cơ sở</v>
      </c>
      <c r="CB18" s="1652" t="str">
        <f t="shared" si="17"/>
        <v>A</v>
      </c>
      <c r="CC18" s="1652" t="str">
        <f t="shared" si="18"/>
        <v>=&gt; s</v>
      </c>
      <c r="CD18" s="1626">
        <f t="shared" si="19"/>
        <v>24277</v>
      </c>
      <c r="CE18" s="1626" t="str">
        <f t="shared" si="20"/>
        <v>---</v>
      </c>
      <c r="CG18" s="1626"/>
      <c r="CI18" s="1626"/>
      <c r="CJ18" s="1641" t="str">
        <f t="shared" si="21"/>
        <v>- - -</v>
      </c>
      <c r="CK18" s="1641" t="str">
        <f t="shared" si="22"/>
        <v>- - -</v>
      </c>
      <c r="CL18" s="1626"/>
      <c r="CM18" s="1641"/>
      <c r="CN18" s="1641"/>
      <c r="CO18" s="1641"/>
      <c r="CP18" s="1641" t="str">
        <f t="shared" si="23"/>
        <v>- - -</v>
      </c>
      <c r="CQ18" s="1626"/>
      <c r="CR18" s="1641"/>
      <c r="CS18" s="1641"/>
      <c r="CT18" s="1662"/>
      <c r="CU18" s="1574" t="str">
        <f t="shared" si="24"/>
        <v>---</v>
      </c>
      <c r="CV18" s="1661" t="str">
        <f t="shared" si="25"/>
        <v>/-/ /-/</v>
      </c>
      <c r="CW18" s="1661">
        <f t="shared" si="26"/>
        <v>7</v>
      </c>
      <c r="CX18" s="1661">
        <f t="shared" si="27"/>
        <v>2029</v>
      </c>
      <c r="CY18" s="1661">
        <f t="shared" si="28"/>
        <v>4</v>
      </c>
      <c r="CZ18" s="1661">
        <f t="shared" si="29"/>
        <v>2029</v>
      </c>
      <c r="DA18" s="1661">
        <f t="shared" si="30"/>
        <v>1</v>
      </c>
      <c r="DB18" s="1663">
        <f t="shared" si="31"/>
        <v>2029</v>
      </c>
      <c r="DC18" s="1664" t="str">
        <f t="shared" si="32"/>
        <v>- - -</v>
      </c>
      <c r="DD18" s="1664" t="str">
        <f t="shared" si="33"/>
        <v>. .</v>
      </c>
      <c r="DE18" s="1652"/>
      <c r="DF18" s="1652">
        <f t="shared" si="34"/>
        <v>720</v>
      </c>
      <c r="DG18" s="1652">
        <f t="shared" si="35"/>
        <v>-23622</v>
      </c>
      <c r="DH18" s="1652">
        <f t="shared" si="36"/>
        <v>-1969</v>
      </c>
      <c r="DI18" s="1652" t="str">
        <f t="shared" si="37"/>
        <v>Nam dưới 35</v>
      </c>
      <c r="DJ18" s="1652"/>
      <c r="DK18" s="1654"/>
      <c r="DL18" s="1641" t="str">
        <f t="shared" si="38"/>
        <v>Đến 30</v>
      </c>
      <c r="DM18" s="1626" t="str">
        <f t="shared" si="39"/>
        <v>TD</v>
      </c>
      <c r="DN18" s="1626">
        <v>2009</v>
      </c>
      <c r="DO18" s="1626"/>
      <c r="DP18" s="1626"/>
      <c r="DQ18" s="1641"/>
      <c r="DR18" s="1641"/>
      <c r="DS18" s="1665"/>
      <c r="DT18" s="1666"/>
      <c r="DU18" s="1642"/>
      <c r="DV18" s="1665"/>
      <c r="DW18" s="1637" t="s">
        <v>131</v>
      </c>
      <c r="DX18" s="1667" t="s">
        <v>110</v>
      </c>
      <c r="DY18" s="1667"/>
      <c r="DZ18" s="1667" t="s">
        <v>341</v>
      </c>
      <c r="EA18" s="1668" t="s">
        <v>359</v>
      </c>
      <c r="EB18" s="1667" t="s">
        <v>347</v>
      </c>
      <c r="EC18" s="1626" t="s">
        <v>359</v>
      </c>
      <c r="ED18" s="1637">
        <v>2009</v>
      </c>
      <c r="EE18" s="1667">
        <f t="shared" si="40"/>
        <v>0</v>
      </c>
      <c r="EF18" s="1667" t="str">
        <f t="shared" si="41"/>
        <v>- - -</v>
      </c>
      <c r="EG18" s="1667" t="s">
        <v>341</v>
      </c>
      <c r="EH18" s="1668" t="s">
        <v>359</v>
      </c>
      <c r="EI18" s="1626" t="s">
        <v>347</v>
      </c>
      <c r="EJ18" s="1641" t="s">
        <v>359</v>
      </c>
      <c r="EK18" s="1663">
        <v>2009</v>
      </c>
      <c r="EL18" s="1642"/>
      <c r="EM18" s="1661" t="str">
        <f t="shared" si="42"/>
        <v>- - -</v>
      </c>
      <c r="EN18" s="1661" t="str">
        <f t="shared" si="43"/>
        <v>---</v>
      </c>
    </row>
    <row r="19" spans="1:144" s="1661" customFormat="1" ht="33.75" customHeight="1" x14ac:dyDescent="0.2">
      <c r="A19" s="1626">
        <v>227</v>
      </c>
      <c r="B19" s="1627">
        <v>5</v>
      </c>
      <c r="C19" s="1626"/>
      <c r="D19" s="1626" t="str">
        <f t="shared" si="0"/>
        <v>Bà</v>
      </c>
      <c r="E19" s="1628" t="s">
        <v>23</v>
      </c>
      <c r="F19" s="1629" t="s">
        <v>380</v>
      </c>
      <c r="G19" s="1630" t="s">
        <v>371</v>
      </c>
      <c r="H19" s="1630" t="s">
        <v>359</v>
      </c>
      <c r="I19" s="1630" t="s">
        <v>376</v>
      </c>
      <c r="J19" s="599" t="s">
        <v>359</v>
      </c>
      <c r="K19" s="599">
        <v>1979</v>
      </c>
      <c r="L19" s="599" t="s">
        <v>451</v>
      </c>
      <c r="M19" s="599" t="str">
        <f t="shared" si="1"/>
        <v>VC</v>
      </c>
      <c r="N19" s="599"/>
      <c r="O19" s="599" t="e">
        <f t="shared" si="2"/>
        <v>#N/A</v>
      </c>
      <c r="P19" s="599"/>
      <c r="Q19" s="1628" t="e">
        <f>VLOOKUP(P19,'- DLiêu Gốc -'!$C$2:$H$115,2,0)</f>
        <v>#N/A</v>
      </c>
      <c r="R19" s="1631" t="s">
        <v>386</v>
      </c>
      <c r="S19" s="601" t="s">
        <v>562</v>
      </c>
      <c r="T19" s="1632" t="str">
        <f>VLOOKUP(Y19,'- DLiêu Gốc -'!$C$2:$H$60,5,0)</f>
        <v>A1</v>
      </c>
      <c r="U19" s="1632" t="str">
        <f>VLOOKUP(Y19,'- DLiêu Gốc -'!$C$2:$H$60,6,0)</f>
        <v>- - -</v>
      </c>
      <c r="V19" s="1632" t="s">
        <v>424</v>
      </c>
      <c r="W19" s="1633" t="str">
        <f t="shared" si="3"/>
        <v>Giảng viên (hạng III)</v>
      </c>
      <c r="X19" s="640" t="str">
        <f t="shared" si="4"/>
        <v>V.07.01.03</v>
      </c>
      <c r="Y19" s="601" t="s">
        <v>430</v>
      </c>
      <c r="Z19" s="640" t="str">
        <f>VLOOKUP(Y19,'- DLiêu Gốc -'!$C$1:$H$133,2,0)</f>
        <v>V.07.01.03</v>
      </c>
      <c r="AA19" s="640" t="str">
        <f t="shared" si="5"/>
        <v>Lương</v>
      </c>
      <c r="AB19" s="1634">
        <v>6</v>
      </c>
      <c r="AC19" s="635" t="s">
        <v>359</v>
      </c>
      <c r="AD19" s="635">
        <v>9</v>
      </c>
      <c r="AE19" s="1635">
        <f t="shared" si="6"/>
        <v>3.99</v>
      </c>
      <c r="AF19" s="1636"/>
      <c r="AG19" s="601"/>
      <c r="AH19" s="1637"/>
      <c r="AI19" s="606" t="s">
        <v>359</v>
      </c>
      <c r="AJ19" s="1669" t="s">
        <v>341</v>
      </c>
      <c r="AK19" s="1639" t="s">
        <v>359</v>
      </c>
      <c r="AL19" s="1640">
        <v>2018</v>
      </c>
      <c r="AM19" s="1641"/>
      <c r="AN19" s="1642"/>
      <c r="AO19" s="1643">
        <f t="shared" si="7"/>
        <v>7</v>
      </c>
      <c r="AP19" s="1644" t="str">
        <f t="shared" si="8"/>
        <v>/</v>
      </c>
      <c r="AQ19" s="1645">
        <f t="shared" si="9"/>
        <v>9</v>
      </c>
      <c r="AR19" s="1646">
        <f t="shared" si="10"/>
        <v>4.32</v>
      </c>
      <c r="AS19" s="601"/>
      <c r="AT19" s="1647" t="s">
        <v>341</v>
      </c>
      <c r="AU19" s="1648" t="s">
        <v>359</v>
      </c>
      <c r="AV19" s="1638" t="s">
        <v>341</v>
      </c>
      <c r="AW19" s="1645" t="s">
        <v>359</v>
      </c>
      <c r="AX19" s="1649">
        <v>2021</v>
      </c>
      <c r="AY19" s="1650"/>
      <c r="AZ19" s="1641"/>
      <c r="BA19" s="1651">
        <v>1.18</v>
      </c>
      <c r="BB19" s="1652">
        <f t="shared" si="11"/>
        <v>3</v>
      </c>
      <c r="BC19" s="1653">
        <f t="shared" si="12"/>
        <v>-24253</v>
      </c>
      <c r="BD19" s="1653">
        <f>VLOOKUP(Y19,'- DLiêu Gốc -'!$C$1:$F$60,3,0)</f>
        <v>2.34</v>
      </c>
      <c r="BE19" s="1654">
        <f>VLOOKUP(Y19,'- DLiêu Gốc -'!$C$1:$F$60,4,0)</f>
        <v>0.33</v>
      </c>
      <c r="BF19" s="1655" t="str">
        <f t="shared" si="13"/>
        <v>PCTN</v>
      </c>
      <c r="BG19" s="1656">
        <v>15</v>
      </c>
      <c r="BH19" s="1657" t="s">
        <v>332</v>
      </c>
      <c r="BI19" s="1658" t="s">
        <v>341</v>
      </c>
      <c r="BJ19" s="1659" t="s">
        <v>359</v>
      </c>
      <c r="BK19" s="1658" t="s">
        <v>342</v>
      </c>
      <c r="BL19" s="1642" t="s">
        <v>359</v>
      </c>
      <c r="BM19" s="1565">
        <v>2019</v>
      </c>
      <c r="BN19" s="1566"/>
      <c r="BO19" s="1655"/>
      <c r="BP19" s="1656">
        <f>IF(BG19&gt;3,BG19+1,0)</f>
        <v>16</v>
      </c>
      <c r="BQ19" s="1657" t="s">
        <v>332</v>
      </c>
      <c r="BR19" s="1658" t="s">
        <v>341</v>
      </c>
      <c r="BS19" s="1659" t="s">
        <v>359</v>
      </c>
      <c r="BT19" s="1658" t="s">
        <v>342</v>
      </c>
      <c r="BU19" s="1642" t="s">
        <v>359</v>
      </c>
      <c r="BV19" s="608">
        <v>2020</v>
      </c>
      <c r="BW19" s="1641"/>
      <c r="BX19" s="1654">
        <v>2.1800000000000002</v>
      </c>
      <c r="BY19" s="1654">
        <f t="shared" si="14"/>
        <v>-24242</v>
      </c>
      <c r="BZ19" s="1642" t="str">
        <f t="shared" si="15"/>
        <v>- - -</v>
      </c>
      <c r="CA19" s="1660" t="str">
        <f t="shared" si="16"/>
        <v>Chánh Văn phòng Học viện, Trưởng Ban Tổ chức - Cán bộ, Trưởng Khoa Nhà nước - Pháp luật và Lý luận cơ sở</v>
      </c>
      <c r="CB19" s="1652" t="str">
        <f t="shared" si="17"/>
        <v>A</v>
      </c>
      <c r="CC19" s="1652" t="str">
        <f t="shared" si="18"/>
        <v>=&gt; s</v>
      </c>
      <c r="CD19" s="1626">
        <f t="shared" si="19"/>
        <v>24277</v>
      </c>
      <c r="CE19" s="1626" t="str">
        <f t="shared" si="20"/>
        <v>S</v>
      </c>
      <c r="CF19" s="1661">
        <v>2012</v>
      </c>
      <c r="CG19" s="1626" t="s">
        <v>426</v>
      </c>
      <c r="CI19" s="1626"/>
      <c r="CJ19" s="1641" t="str">
        <f t="shared" si="21"/>
        <v>Cùg Ng</v>
      </c>
      <c r="CK19" s="1641" t="str">
        <f t="shared" si="22"/>
        <v>- - -</v>
      </c>
      <c r="CL19" s="1626"/>
      <c r="CM19" s="1641"/>
      <c r="CN19" s="1641"/>
      <c r="CO19" s="1641"/>
      <c r="CP19" s="1641" t="str">
        <f t="shared" si="23"/>
        <v>- - -</v>
      </c>
      <c r="CQ19" s="1626"/>
      <c r="CR19" s="1641"/>
      <c r="CS19" s="1641"/>
      <c r="CT19" s="1662"/>
      <c r="CU19" s="1574" t="str">
        <f t="shared" si="24"/>
        <v>---</v>
      </c>
      <c r="CV19" s="1661" t="str">
        <f t="shared" si="25"/>
        <v>/-/ /-/</v>
      </c>
      <c r="CW19" s="1661">
        <f t="shared" si="26"/>
        <v>5</v>
      </c>
      <c r="CX19" s="1661">
        <f t="shared" si="27"/>
        <v>2034</v>
      </c>
      <c r="CY19" s="1661">
        <f t="shared" si="28"/>
        <v>2</v>
      </c>
      <c r="CZ19" s="1661">
        <f t="shared" si="29"/>
        <v>2034</v>
      </c>
      <c r="DA19" s="1661">
        <f t="shared" si="30"/>
        <v>11</v>
      </c>
      <c r="DB19" s="1663">
        <f t="shared" si="31"/>
        <v>2033</v>
      </c>
      <c r="DC19" s="1664" t="str">
        <f t="shared" si="32"/>
        <v>- - -</v>
      </c>
      <c r="DD19" s="1664" t="str">
        <f t="shared" si="33"/>
        <v>. .</v>
      </c>
      <c r="DE19" s="1652"/>
      <c r="DF19" s="1652">
        <f t="shared" si="34"/>
        <v>660</v>
      </c>
      <c r="DG19" s="1652">
        <f t="shared" si="35"/>
        <v>-23740</v>
      </c>
      <c r="DH19" s="1652">
        <f t="shared" si="36"/>
        <v>-1979</v>
      </c>
      <c r="DI19" s="1652" t="str">
        <f t="shared" si="37"/>
        <v>Nữ dưới 30</v>
      </c>
      <c r="DJ19" s="1652"/>
      <c r="DK19" s="1654"/>
      <c r="DL19" s="1641" t="str">
        <f t="shared" si="38"/>
        <v>Đến 30</v>
      </c>
      <c r="DM19" s="1626" t="str">
        <f t="shared" si="39"/>
        <v>TD</v>
      </c>
      <c r="DN19" s="1626">
        <v>2012</v>
      </c>
      <c r="DO19" s="1626"/>
      <c r="DP19" s="1626"/>
      <c r="DQ19" s="1641"/>
      <c r="DR19" s="1641"/>
      <c r="DS19" s="1665"/>
      <c r="DT19" s="1666"/>
      <c r="DU19" s="1642"/>
      <c r="DV19" s="1665"/>
      <c r="DW19" s="1637" t="s">
        <v>386</v>
      </c>
      <c r="DX19" s="1667" t="s">
        <v>127</v>
      </c>
      <c r="DY19" s="1667" t="s">
        <v>386</v>
      </c>
      <c r="DZ19" s="1667" t="s">
        <v>341</v>
      </c>
      <c r="EA19" s="1668" t="s">
        <v>359</v>
      </c>
      <c r="EB19" s="1667" t="s">
        <v>341</v>
      </c>
      <c r="EC19" s="1626" t="s">
        <v>359</v>
      </c>
      <c r="ED19" s="1637">
        <v>2012</v>
      </c>
      <c r="EE19" s="1667">
        <f t="shared" si="40"/>
        <v>0</v>
      </c>
      <c r="EF19" s="1667" t="str">
        <f t="shared" si="41"/>
        <v>- - -</v>
      </c>
      <c r="EG19" s="1667" t="s">
        <v>341</v>
      </c>
      <c r="EH19" s="1668" t="s">
        <v>359</v>
      </c>
      <c r="EI19" s="1626" t="s">
        <v>341</v>
      </c>
      <c r="EJ19" s="1641" t="s">
        <v>359</v>
      </c>
      <c r="EK19" s="1663">
        <v>2012</v>
      </c>
      <c r="EL19" s="1642"/>
      <c r="EM19" s="1661" t="str">
        <f t="shared" si="42"/>
        <v>- - -</v>
      </c>
      <c r="EN19" s="1661" t="str">
        <f t="shared" si="43"/>
        <v>---</v>
      </c>
    </row>
    <row r="20" spans="1:144" s="1661" customFormat="1" ht="33.75" customHeight="1" x14ac:dyDescent="0.2">
      <c r="A20" s="1626">
        <v>297</v>
      </c>
      <c r="B20" s="1627">
        <v>6</v>
      </c>
      <c r="C20" s="1626"/>
      <c r="D20" s="1626" t="str">
        <f t="shared" si="0"/>
        <v>Ông</v>
      </c>
      <c r="E20" s="1628" t="s">
        <v>466</v>
      </c>
      <c r="F20" s="1629" t="s">
        <v>378</v>
      </c>
      <c r="G20" s="1630" t="s">
        <v>370</v>
      </c>
      <c r="H20" s="1630" t="s">
        <v>359</v>
      </c>
      <c r="I20" s="1630" t="s">
        <v>376</v>
      </c>
      <c r="J20" s="599" t="s">
        <v>359</v>
      </c>
      <c r="K20" s="599">
        <v>1970</v>
      </c>
      <c r="L20" s="599" t="s">
        <v>451</v>
      </c>
      <c r="M20" s="599" t="str">
        <f t="shared" si="1"/>
        <v>VC</v>
      </c>
      <c r="N20" s="599"/>
      <c r="O20" s="599" t="e">
        <f t="shared" si="2"/>
        <v>#N/A</v>
      </c>
      <c r="P20" s="599"/>
      <c r="Q20" s="1628" t="e">
        <f>VLOOKUP(P20,'- DLiêu Gốc -'!$C$2:$H$115,2,0)</f>
        <v>#N/A</v>
      </c>
      <c r="R20" s="1631" t="s">
        <v>385</v>
      </c>
      <c r="S20" s="601" t="s">
        <v>111</v>
      </c>
      <c r="T20" s="1632" t="str">
        <f>VLOOKUP(Y20,'- DLiêu Gốc -'!$C$2:$H$60,5,0)</f>
        <v>A2</v>
      </c>
      <c r="U20" s="1632" t="str">
        <f>VLOOKUP(Y20,'- DLiêu Gốc -'!$C$2:$H$60,6,0)</f>
        <v>A2.1</v>
      </c>
      <c r="V20" s="1632" t="s">
        <v>424</v>
      </c>
      <c r="W20" s="1633" t="str">
        <f t="shared" si="3"/>
        <v>Giảng viên chính (hạng II)</v>
      </c>
      <c r="X20" s="640" t="str">
        <f t="shared" si="4"/>
        <v>V.07.01.02</v>
      </c>
      <c r="Y20" s="601" t="s">
        <v>431</v>
      </c>
      <c r="Z20" s="640" t="str">
        <f>VLOOKUP(Y20,'- DLiêu Gốc -'!$C$1:$H$133,2,0)</f>
        <v>V.07.01.02</v>
      </c>
      <c r="AA20" s="640" t="str">
        <f t="shared" si="5"/>
        <v>Lương</v>
      </c>
      <c r="AB20" s="1634">
        <v>4</v>
      </c>
      <c r="AC20" s="635" t="s">
        <v>359</v>
      </c>
      <c r="AD20" s="635">
        <v>8</v>
      </c>
      <c r="AE20" s="1635">
        <f t="shared" si="6"/>
        <v>5.42</v>
      </c>
      <c r="AF20" s="1636"/>
      <c r="AG20" s="601"/>
      <c r="AH20" s="1637"/>
      <c r="AI20" s="606" t="s">
        <v>359</v>
      </c>
      <c r="AJ20" s="1669" t="s">
        <v>341</v>
      </c>
      <c r="AK20" s="1639" t="s">
        <v>359</v>
      </c>
      <c r="AL20" s="1640">
        <v>2018</v>
      </c>
      <c r="AM20" s="1641"/>
      <c r="AN20" s="1642"/>
      <c r="AO20" s="1643">
        <f t="shared" si="7"/>
        <v>5</v>
      </c>
      <c r="AP20" s="1644" t="str">
        <f t="shared" si="8"/>
        <v>/</v>
      </c>
      <c r="AQ20" s="1645">
        <f t="shared" si="9"/>
        <v>8</v>
      </c>
      <c r="AR20" s="1646">
        <f t="shared" si="10"/>
        <v>5.76</v>
      </c>
      <c r="AS20" s="601"/>
      <c r="AT20" s="1647" t="s">
        <v>341</v>
      </c>
      <c r="AU20" s="1648" t="s">
        <v>359</v>
      </c>
      <c r="AV20" s="1638" t="s">
        <v>341</v>
      </c>
      <c r="AW20" s="1645" t="s">
        <v>359</v>
      </c>
      <c r="AX20" s="1649">
        <v>2021</v>
      </c>
      <c r="AY20" s="1650"/>
      <c r="AZ20" s="1641"/>
      <c r="BA20" s="1651">
        <v>1.18</v>
      </c>
      <c r="BB20" s="1652">
        <f t="shared" si="11"/>
        <v>3</v>
      </c>
      <c r="BC20" s="1653">
        <f t="shared" si="12"/>
        <v>-24253</v>
      </c>
      <c r="BD20" s="1653">
        <f>VLOOKUP(Y20,'- DLiêu Gốc -'!$C$1:$F$60,3,0)</f>
        <v>4.4000000000000004</v>
      </c>
      <c r="BE20" s="1654">
        <f>VLOOKUP(Y20,'- DLiêu Gốc -'!$C$1:$F$60,4,0)</f>
        <v>0.34</v>
      </c>
      <c r="BF20" s="1655" t="str">
        <f t="shared" si="13"/>
        <v>o-o-o</v>
      </c>
      <c r="BG20" s="1656"/>
      <c r="BH20" s="1657"/>
      <c r="BI20" s="1658"/>
      <c r="BJ20" s="1659"/>
      <c r="BK20" s="1658"/>
      <c r="BL20" s="1642"/>
      <c r="BM20" s="1565"/>
      <c r="BN20" s="1566"/>
      <c r="BO20" s="1655"/>
      <c r="BP20" s="1656"/>
      <c r="BQ20" s="1657"/>
      <c r="BR20" s="1658"/>
      <c r="BS20" s="1659"/>
      <c r="BT20" s="1658"/>
      <c r="BU20" s="1642"/>
      <c r="BV20" s="608"/>
      <c r="BW20" s="1641" t="s">
        <v>634</v>
      </c>
      <c r="BX20" s="1654"/>
      <c r="BY20" s="1654" t="str">
        <f t="shared" si="14"/>
        <v>- - -</v>
      </c>
      <c r="BZ20" s="1642" t="str">
        <f t="shared" si="15"/>
        <v>- - -</v>
      </c>
      <c r="CA20" s="1660" t="str">
        <f t="shared" si="16"/>
        <v>Chánh Văn phòng Học viện, Trưởng Ban Tổ chức - Cán bộ, Trưởng Khoa Quản lý nhà nước về Xã hội</v>
      </c>
      <c r="CB20" s="1652" t="str">
        <f t="shared" si="17"/>
        <v>A</v>
      </c>
      <c r="CC20" s="1652" t="str">
        <f t="shared" si="18"/>
        <v>=&gt; s</v>
      </c>
      <c r="CD20" s="1626">
        <f t="shared" si="19"/>
        <v>24277</v>
      </c>
      <c r="CE20" s="1626" t="str">
        <f t="shared" si="20"/>
        <v>S</v>
      </c>
      <c r="CF20" s="1661">
        <v>2015</v>
      </c>
      <c r="CG20" s="1626"/>
      <c r="CI20" s="1626"/>
      <c r="CJ20" s="1641" t="str">
        <f t="shared" si="21"/>
        <v>- - -</v>
      </c>
      <c r="CK20" s="1641" t="str">
        <f t="shared" si="22"/>
        <v>- - -</v>
      </c>
      <c r="CL20" s="1626"/>
      <c r="CM20" s="1641"/>
      <c r="CN20" s="1641"/>
      <c r="CO20" s="1641"/>
      <c r="CP20" s="1641" t="str">
        <f t="shared" si="23"/>
        <v>- - -</v>
      </c>
      <c r="CQ20" s="1626"/>
      <c r="CR20" s="1641"/>
      <c r="CS20" s="1641"/>
      <c r="CT20" s="1662"/>
      <c r="CU20" s="1574" t="str">
        <f t="shared" si="24"/>
        <v>---</v>
      </c>
      <c r="CV20" s="1661" t="str">
        <f t="shared" si="25"/>
        <v>/-/ /-/</v>
      </c>
      <c r="CW20" s="1661">
        <f t="shared" si="26"/>
        <v>5</v>
      </c>
      <c r="CX20" s="1661">
        <f t="shared" si="27"/>
        <v>2030</v>
      </c>
      <c r="CY20" s="1661">
        <f t="shared" si="28"/>
        <v>2</v>
      </c>
      <c r="CZ20" s="1661">
        <f t="shared" si="29"/>
        <v>2030</v>
      </c>
      <c r="DA20" s="1661">
        <f t="shared" si="30"/>
        <v>11</v>
      </c>
      <c r="DB20" s="1663">
        <f t="shared" si="31"/>
        <v>2029</v>
      </c>
      <c r="DC20" s="1664" t="str">
        <f t="shared" si="32"/>
        <v>- - -</v>
      </c>
      <c r="DD20" s="1664" t="str">
        <f t="shared" si="33"/>
        <v>. .</v>
      </c>
      <c r="DE20" s="1652"/>
      <c r="DF20" s="1652">
        <f t="shared" si="34"/>
        <v>720</v>
      </c>
      <c r="DG20" s="1652">
        <f t="shared" si="35"/>
        <v>-23632</v>
      </c>
      <c r="DH20" s="1652">
        <f t="shared" si="36"/>
        <v>-1970</v>
      </c>
      <c r="DI20" s="1652" t="str">
        <f t="shared" si="37"/>
        <v>Nam dưới 35</v>
      </c>
      <c r="DJ20" s="1652"/>
      <c r="DK20" s="1654"/>
      <c r="DL20" s="1641" t="str">
        <f t="shared" si="38"/>
        <v>Đến 30</v>
      </c>
      <c r="DM20" s="1626" t="str">
        <f t="shared" si="39"/>
        <v>--</v>
      </c>
      <c r="DN20" s="1626"/>
      <c r="DO20" s="1626"/>
      <c r="DP20" s="1626"/>
      <c r="DQ20" s="1641"/>
      <c r="DR20" s="1641"/>
      <c r="DS20" s="1665"/>
      <c r="DT20" s="1666"/>
      <c r="DU20" s="1642"/>
      <c r="DV20" s="1665"/>
      <c r="DW20" s="1637" t="s">
        <v>385</v>
      </c>
      <c r="DX20" s="1667" t="s">
        <v>111</v>
      </c>
      <c r="DY20" s="1667" t="s">
        <v>385</v>
      </c>
      <c r="DZ20" s="1667" t="s">
        <v>341</v>
      </c>
      <c r="EA20" s="1668" t="s">
        <v>359</v>
      </c>
      <c r="EB20" s="1667" t="s">
        <v>348</v>
      </c>
      <c r="EC20" s="1626" t="s">
        <v>359</v>
      </c>
      <c r="ED20" s="1637" t="s">
        <v>362</v>
      </c>
      <c r="EE20" s="1667">
        <f t="shared" si="40"/>
        <v>0</v>
      </c>
      <c r="EF20" s="1667" t="str">
        <f t="shared" si="41"/>
        <v>- - -</v>
      </c>
      <c r="EG20" s="1667" t="s">
        <v>341</v>
      </c>
      <c r="EH20" s="1668" t="s">
        <v>359</v>
      </c>
      <c r="EI20" s="1626" t="s">
        <v>348</v>
      </c>
      <c r="EJ20" s="1641" t="s">
        <v>359</v>
      </c>
      <c r="EK20" s="1663" t="s">
        <v>362</v>
      </c>
      <c r="EL20" s="1642"/>
      <c r="EM20" s="1661" t="str">
        <f t="shared" si="42"/>
        <v>- - -</v>
      </c>
      <c r="EN20" s="1661" t="str">
        <f t="shared" si="43"/>
        <v>---</v>
      </c>
    </row>
    <row r="21" spans="1:144" s="1661" customFormat="1" ht="33.75" customHeight="1" x14ac:dyDescent="0.2">
      <c r="A21" s="1626">
        <v>328</v>
      </c>
      <c r="B21" s="1627">
        <v>7</v>
      </c>
      <c r="C21" s="1626"/>
      <c r="D21" s="1626" t="str">
        <f t="shared" si="0"/>
        <v>Bà</v>
      </c>
      <c r="E21" s="1628" t="s">
        <v>322</v>
      </c>
      <c r="F21" s="1629" t="s">
        <v>380</v>
      </c>
      <c r="G21" s="1630" t="s">
        <v>273</v>
      </c>
      <c r="H21" s="1630" t="s">
        <v>359</v>
      </c>
      <c r="I21" s="1630" t="s">
        <v>344</v>
      </c>
      <c r="J21" s="599" t="s">
        <v>359</v>
      </c>
      <c r="K21" s="599" t="s">
        <v>320</v>
      </c>
      <c r="L21" s="599" t="s">
        <v>451</v>
      </c>
      <c r="M21" s="599" t="str">
        <f t="shared" si="1"/>
        <v>VC</v>
      </c>
      <c r="N21" s="599"/>
      <c r="O21" s="599" t="str">
        <f t="shared" si="2"/>
        <v>CVụ</v>
      </c>
      <c r="P21" s="599" t="s">
        <v>250</v>
      </c>
      <c r="Q21" s="1628">
        <f>VLOOKUP(P21,'- DLiêu Gốc -'!$C$2:$H$115,2,0)</f>
        <v>0.4</v>
      </c>
      <c r="R21" s="1631" t="s">
        <v>316</v>
      </c>
      <c r="S21" s="601" t="s">
        <v>119</v>
      </c>
      <c r="T21" s="1632" t="str">
        <f>VLOOKUP(Y21,'- DLiêu Gốc -'!$C$2:$H$60,5,0)</f>
        <v>A2</v>
      </c>
      <c r="U21" s="1632" t="str">
        <f>VLOOKUP(Y21,'- DLiêu Gốc -'!$C$2:$H$60,6,0)</f>
        <v>A2.1</v>
      </c>
      <c r="V21" s="1632" t="s">
        <v>424</v>
      </c>
      <c r="W21" s="1633" t="str">
        <f t="shared" si="3"/>
        <v>Giảng viên chính (hạng II)</v>
      </c>
      <c r="X21" s="640" t="str">
        <f t="shared" si="4"/>
        <v>V.07.01.02</v>
      </c>
      <c r="Y21" s="601" t="s">
        <v>431</v>
      </c>
      <c r="Z21" s="640" t="str">
        <f>VLOOKUP(Y21,'- DLiêu Gốc -'!$C$1:$H$133,2,0)</f>
        <v>V.07.01.02</v>
      </c>
      <c r="AA21" s="640" t="str">
        <f t="shared" si="5"/>
        <v>Lương</v>
      </c>
      <c r="AB21" s="1634">
        <v>4</v>
      </c>
      <c r="AC21" s="635" t="s">
        <v>359</v>
      </c>
      <c r="AD21" s="635">
        <v>8</v>
      </c>
      <c r="AE21" s="1635">
        <f t="shared" si="6"/>
        <v>5.42</v>
      </c>
      <c r="AF21" s="1636"/>
      <c r="AG21" s="601"/>
      <c r="AH21" s="1637"/>
      <c r="AI21" s="606" t="s">
        <v>359</v>
      </c>
      <c r="AJ21" s="1669" t="s">
        <v>341</v>
      </c>
      <c r="AK21" s="1639" t="s">
        <v>359</v>
      </c>
      <c r="AL21" s="1640">
        <v>2018</v>
      </c>
      <c r="AM21" s="1641"/>
      <c r="AN21" s="1642"/>
      <c r="AO21" s="1643">
        <f t="shared" ref="AO21:AO30" si="44">AB21+1</f>
        <v>5</v>
      </c>
      <c r="AP21" s="1644" t="str">
        <f t="shared" ref="AP21:AP30" si="45">IF(AD21=AB21,"%",IF(AD21&gt;AB21,"/"))</f>
        <v>/</v>
      </c>
      <c r="AQ21" s="1645">
        <f t="shared" ref="AQ21:AQ30" si="46">IF(AND(AD21=AB21,AO21=4),5,IF(AND(AD21=AB21,AO21&gt;4),AO21+1,IF(AD21&gt;AB21,AD21)))</f>
        <v>8</v>
      </c>
      <c r="AR21" s="1646">
        <f t="shared" ref="AR21:AR30" si="47">IF(AD21=AB21,"%",IF(AD21&gt;AB21,AE21+BE21))</f>
        <v>5.76</v>
      </c>
      <c r="AS21" s="601"/>
      <c r="AT21" s="1647" t="s">
        <v>341</v>
      </c>
      <c r="AU21" s="1648" t="s">
        <v>359</v>
      </c>
      <c r="AV21" s="1638" t="s">
        <v>341</v>
      </c>
      <c r="AW21" s="1645" t="s">
        <v>359</v>
      </c>
      <c r="AX21" s="1649">
        <v>2021</v>
      </c>
      <c r="AY21" s="1650"/>
      <c r="AZ21" s="1641"/>
      <c r="BA21" s="1651">
        <v>1.18</v>
      </c>
      <c r="BB21" s="1652">
        <f t="shared" si="11"/>
        <v>3</v>
      </c>
      <c r="BC21" s="1653">
        <f t="shared" si="12"/>
        <v>-24253</v>
      </c>
      <c r="BD21" s="1653">
        <f>VLOOKUP(Y21,'- DLiêu Gốc -'!$C$1:$F$60,3,0)</f>
        <v>4.4000000000000004</v>
      </c>
      <c r="BE21" s="1654">
        <f>VLOOKUP(Y21,'- DLiêu Gốc -'!$C$1:$F$60,4,0)</f>
        <v>0.34</v>
      </c>
      <c r="BF21" s="1655" t="str">
        <f t="shared" si="13"/>
        <v>PCTN</v>
      </c>
      <c r="BG21" s="1656">
        <v>26</v>
      </c>
      <c r="BH21" s="1657" t="s">
        <v>332</v>
      </c>
      <c r="BI21" s="1658" t="s">
        <v>341</v>
      </c>
      <c r="BJ21" s="1659" t="s">
        <v>359</v>
      </c>
      <c r="BK21" s="1658" t="s">
        <v>346</v>
      </c>
      <c r="BL21" s="1642" t="s">
        <v>359</v>
      </c>
      <c r="BM21" s="1565">
        <v>2019</v>
      </c>
      <c r="BN21" s="1566"/>
      <c r="BO21" s="1655"/>
      <c r="BP21" s="1656">
        <f>IF(BG21&gt;3,BG21+1,0)</f>
        <v>27</v>
      </c>
      <c r="BQ21" s="1657" t="s">
        <v>332</v>
      </c>
      <c r="BR21" s="1658" t="s">
        <v>341</v>
      </c>
      <c r="BS21" s="1659" t="s">
        <v>359</v>
      </c>
      <c r="BT21" s="1658" t="s">
        <v>346</v>
      </c>
      <c r="BU21" s="1642" t="s">
        <v>359</v>
      </c>
      <c r="BV21" s="608">
        <v>2020</v>
      </c>
      <c r="BW21" s="1641"/>
      <c r="BX21" s="1654">
        <v>3</v>
      </c>
      <c r="BY21" s="1654">
        <f t="shared" si="14"/>
        <v>-24243</v>
      </c>
      <c r="BZ21" s="1642" t="str">
        <f t="shared" si="15"/>
        <v>- - -</v>
      </c>
      <c r="CA21" s="1660" t="str">
        <f t="shared" si="16"/>
        <v>Chánh Văn phòng Học viện, Trưởng Ban Tổ chức - Cán bộ, Trưởng Khoa Văn bản và Công nghệ hành chính</v>
      </c>
      <c r="CB21" s="1652" t="str">
        <f t="shared" si="17"/>
        <v>A</v>
      </c>
      <c r="CC21" s="1652" t="str">
        <f t="shared" si="18"/>
        <v>=&gt; s</v>
      </c>
      <c r="CD21" s="1626">
        <f t="shared" si="19"/>
        <v>24277</v>
      </c>
      <c r="CE21" s="1626" t="str">
        <f t="shared" si="20"/>
        <v>---</v>
      </c>
      <c r="CG21" s="1626"/>
      <c r="CI21" s="1626"/>
      <c r="CJ21" s="1641" t="str">
        <f t="shared" si="21"/>
        <v>- - -</v>
      </c>
      <c r="CK21" s="1641" t="str">
        <f t="shared" si="22"/>
        <v>NN</v>
      </c>
      <c r="CL21" s="1626">
        <v>1</v>
      </c>
      <c r="CM21" s="1641">
        <v>2009</v>
      </c>
      <c r="CN21" s="1641"/>
      <c r="CO21" s="1641"/>
      <c r="CP21" s="1641" t="str">
        <f t="shared" si="23"/>
        <v>- - -</v>
      </c>
      <c r="CQ21" s="1626"/>
      <c r="CR21" s="1641"/>
      <c r="CS21" s="1641"/>
      <c r="CT21" s="1662"/>
      <c r="CU21" s="1574" t="str">
        <f t="shared" si="24"/>
        <v>---</v>
      </c>
      <c r="CV21" s="1661" t="str">
        <f t="shared" si="25"/>
        <v>/-/ /-/</v>
      </c>
      <c r="CW21" s="1661">
        <f t="shared" si="26"/>
        <v>7</v>
      </c>
      <c r="CX21" s="1661">
        <f t="shared" si="27"/>
        <v>2022</v>
      </c>
      <c r="CY21" s="1661">
        <f t="shared" si="28"/>
        <v>4</v>
      </c>
      <c r="CZ21" s="1661">
        <f t="shared" si="29"/>
        <v>2022</v>
      </c>
      <c r="DA21" s="1661">
        <f t="shared" si="30"/>
        <v>1</v>
      </c>
      <c r="DB21" s="1663">
        <f t="shared" si="31"/>
        <v>2022</v>
      </c>
      <c r="DC21" s="1664" t="str">
        <f t="shared" si="32"/>
        <v>- - -</v>
      </c>
      <c r="DD21" s="1664" t="str">
        <f t="shared" si="33"/>
        <v>. .</v>
      </c>
      <c r="DE21" s="1652"/>
      <c r="DF21" s="1652">
        <f t="shared" si="34"/>
        <v>660</v>
      </c>
      <c r="DG21" s="1652">
        <f t="shared" si="35"/>
        <v>-23598</v>
      </c>
      <c r="DH21" s="1652">
        <f t="shared" si="36"/>
        <v>-1967</v>
      </c>
      <c r="DI21" s="1652" t="str">
        <f t="shared" si="37"/>
        <v>Nữ dưới 30</v>
      </c>
      <c r="DJ21" s="1652"/>
      <c r="DK21" s="1654"/>
      <c r="DL21" s="1641" t="str">
        <f t="shared" si="38"/>
        <v>Đến 30</v>
      </c>
      <c r="DM21" s="1626" t="str">
        <f t="shared" si="39"/>
        <v>--</v>
      </c>
      <c r="DN21" s="1626"/>
      <c r="DO21" s="1626"/>
      <c r="DP21" s="1626"/>
      <c r="DQ21" s="1641"/>
      <c r="DR21" s="1641"/>
      <c r="DS21" s="1665"/>
      <c r="DT21" s="1666"/>
      <c r="DU21" s="1642"/>
      <c r="DV21" s="1665"/>
      <c r="DW21" s="1637" t="s">
        <v>316</v>
      </c>
      <c r="DX21" s="1667" t="s">
        <v>119</v>
      </c>
      <c r="DY21" s="1667" t="s">
        <v>316</v>
      </c>
      <c r="DZ21" s="1667" t="s">
        <v>341</v>
      </c>
      <c r="EA21" s="1668" t="s">
        <v>359</v>
      </c>
      <c r="EB21" s="1667" t="s">
        <v>341</v>
      </c>
      <c r="EC21" s="1626" t="s">
        <v>359</v>
      </c>
      <c r="ED21" s="1637">
        <v>2012</v>
      </c>
      <c r="EE21" s="1667">
        <f t="shared" si="40"/>
        <v>0</v>
      </c>
      <c r="EF21" s="1667" t="str">
        <f t="shared" si="41"/>
        <v>- - -</v>
      </c>
      <c r="EG21" s="1667" t="s">
        <v>341</v>
      </c>
      <c r="EH21" s="1668" t="s">
        <v>359</v>
      </c>
      <c r="EI21" s="1626" t="s">
        <v>341</v>
      </c>
      <c r="EJ21" s="1641" t="s">
        <v>359</v>
      </c>
      <c r="EK21" s="1663">
        <v>2012</v>
      </c>
      <c r="EL21" s="1642">
        <v>3.99</v>
      </c>
      <c r="EM21" s="1661" t="str">
        <f t="shared" si="42"/>
        <v>- - -</v>
      </c>
      <c r="EN21" s="1661" t="str">
        <f t="shared" si="43"/>
        <v>---</v>
      </c>
    </row>
    <row r="22" spans="1:144" s="1661" customFormat="1" ht="33.75" customHeight="1" x14ac:dyDescent="0.2">
      <c r="A22" s="1626">
        <v>333</v>
      </c>
      <c r="B22" s="1627">
        <v>8</v>
      </c>
      <c r="C22" s="1626"/>
      <c r="D22" s="1626" t="str">
        <f t="shared" si="0"/>
        <v>Bà</v>
      </c>
      <c r="E22" s="1628" t="s">
        <v>43</v>
      </c>
      <c r="F22" s="1629" t="s">
        <v>380</v>
      </c>
      <c r="G22" s="1630" t="s">
        <v>372</v>
      </c>
      <c r="H22" s="1630" t="s">
        <v>359</v>
      </c>
      <c r="I22" s="1630" t="s">
        <v>346</v>
      </c>
      <c r="J22" s="599" t="s">
        <v>359</v>
      </c>
      <c r="K22" s="599">
        <v>1983</v>
      </c>
      <c r="L22" s="599" t="s">
        <v>451</v>
      </c>
      <c r="M22" s="599" t="str">
        <f t="shared" si="1"/>
        <v>VC</v>
      </c>
      <c r="N22" s="599"/>
      <c r="O22" s="599" t="e">
        <f t="shared" si="2"/>
        <v>#N/A</v>
      </c>
      <c r="P22" s="599"/>
      <c r="Q22" s="1628" t="e">
        <f>VLOOKUP(P22,'- DLiêu Gốc -'!$C$2:$H$115,2,0)</f>
        <v>#N/A</v>
      </c>
      <c r="R22" s="1631" t="s">
        <v>316</v>
      </c>
      <c r="S22" s="601" t="s">
        <v>119</v>
      </c>
      <c r="T22" s="1632" t="str">
        <f>VLOOKUP(Y22,'- DLiêu Gốc -'!$C$2:$H$60,5,0)</f>
        <v>A1</v>
      </c>
      <c r="U22" s="1632" t="str">
        <f>VLOOKUP(Y22,'- DLiêu Gốc -'!$C$2:$H$60,6,0)</f>
        <v>- - -</v>
      </c>
      <c r="V22" s="1632" t="s">
        <v>424</v>
      </c>
      <c r="W22" s="1633" t="str">
        <f t="shared" si="3"/>
        <v>Giảng viên (hạng III)</v>
      </c>
      <c r="X22" s="640" t="str">
        <f t="shared" si="4"/>
        <v>V.07.01.03</v>
      </c>
      <c r="Y22" s="601" t="s">
        <v>430</v>
      </c>
      <c r="Z22" s="640" t="str">
        <f>VLOOKUP(Y22,'- DLiêu Gốc -'!$C$1:$H$133,2,0)</f>
        <v>V.07.01.03</v>
      </c>
      <c r="AA22" s="640" t="str">
        <f t="shared" si="5"/>
        <v>Lương</v>
      </c>
      <c r="AB22" s="1634">
        <v>5</v>
      </c>
      <c r="AC22" s="635" t="s">
        <v>359</v>
      </c>
      <c r="AD22" s="635">
        <v>9</v>
      </c>
      <c r="AE22" s="1635">
        <f t="shared" si="6"/>
        <v>3.66</v>
      </c>
      <c r="AF22" s="1636"/>
      <c r="AG22" s="601"/>
      <c r="AH22" s="1637"/>
      <c r="AI22" s="606" t="s">
        <v>359</v>
      </c>
      <c r="AJ22" s="1669" t="s">
        <v>341</v>
      </c>
      <c r="AK22" s="1639" t="s">
        <v>359</v>
      </c>
      <c r="AL22" s="1640">
        <v>2018</v>
      </c>
      <c r="AM22" s="1641"/>
      <c r="AN22" s="1642"/>
      <c r="AO22" s="1643">
        <f t="shared" si="44"/>
        <v>6</v>
      </c>
      <c r="AP22" s="1644" t="str">
        <f t="shared" si="45"/>
        <v>/</v>
      </c>
      <c r="AQ22" s="1645">
        <f t="shared" si="46"/>
        <v>9</v>
      </c>
      <c r="AR22" s="1646">
        <f t="shared" si="47"/>
        <v>3.99</v>
      </c>
      <c r="AS22" s="601"/>
      <c r="AT22" s="1647" t="s">
        <v>341</v>
      </c>
      <c r="AU22" s="1648" t="s">
        <v>359</v>
      </c>
      <c r="AV22" s="1638" t="s">
        <v>341</v>
      </c>
      <c r="AW22" s="1645" t="s">
        <v>359</v>
      </c>
      <c r="AX22" s="1649">
        <v>2021</v>
      </c>
      <c r="AY22" s="1650"/>
      <c r="AZ22" s="1641"/>
      <c r="BA22" s="1651">
        <v>1.18</v>
      </c>
      <c r="BB22" s="1652">
        <f t="shared" si="11"/>
        <v>3</v>
      </c>
      <c r="BC22" s="1653">
        <f t="shared" si="12"/>
        <v>-24253</v>
      </c>
      <c r="BD22" s="1653">
        <f>VLOOKUP(Y22,'- DLiêu Gốc -'!$C$1:$F$60,3,0)</f>
        <v>2.34</v>
      </c>
      <c r="BE22" s="1654">
        <f>VLOOKUP(Y22,'- DLiêu Gốc -'!$C$1:$F$60,4,0)</f>
        <v>0.33</v>
      </c>
      <c r="BF22" s="1655" t="str">
        <f t="shared" si="13"/>
        <v>PCTN</v>
      </c>
      <c r="BG22" s="1656">
        <v>12</v>
      </c>
      <c r="BH22" s="1657" t="s">
        <v>332</v>
      </c>
      <c r="BI22" s="1658" t="s">
        <v>341</v>
      </c>
      <c r="BJ22" s="1659" t="s">
        <v>359</v>
      </c>
      <c r="BK22" s="1658" t="s">
        <v>341</v>
      </c>
      <c r="BL22" s="1642" t="s">
        <v>359</v>
      </c>
      <c r="BM22" s="1565">
        <v>2019</v>
      </c>
      <c r="BN22" s="1566"/>
      <c r="BO22" s="1655"/>
      <c r="BP22" s="1656">
        <f>IF(BG22&gt;3,BG22+1,0)</f>
        <v>13</v>
      </c>
      <c r="BQ22" s="1657" t="s">
        <v>332</v>
      </c>
      <c r="BR22" s="1658" t="s">
        <v>341</v>
      </c>
      <c r="BS22" s="1659" t="s">
        <v>359</v>
      </c>
      <c r="BT22" s="1658" t="s">
        <v>341</v>
      </c>
      <c r="BU22" s="1642" t="s">
        <v>359</v>
      </c>
      <c r="BV22" s="608">
        <v>2020</v>
      </c>
      <c r="BW22" s="1641"/>
      <c r="BX22" s="1654">
        <v>1</v>
      </c>
      <c r="BY22" s="1654">
        <f t="shared" si="14"/>
        <v>-24241</v>
      </c>
      <c r="BZ22" s="1642" t="str">
        <f t="shared" si="15"/>
        <v>- - -</v>
      </c>
      <c r="CA22" s="1660" t="str">
        <f t="shared" si="16"/>
        <v>Chánh Văn phòng Học viện, Trưởng Ban Tổ chức - Cán bộ, Trưởng Khoa Văn bản và Công nghệ hành chính</v>
      </c>
      <c r="CB22" s="1652" t="str">
        <f t="shared" si="17"/>
        <v>A</v>
      </c>
      <c r="CC22" s="1652" t="str">
        <f t="shared" si="18"/>
        <v>=&gt; s</v>
      </c>
      <c r="CD22" s="1626">
        <f t="shared" si="19"/>
        <v>24277</v>
      </c>
      <c r="CE22" s="1626" t="str">
        <f t="shared" si="20"/>
        <v>S</v>
      </c>
      <c r="CF22" s="1661">
        <v>2012</v>
      </c>
      <c r="CG22" s="1626" t="s">
        <v>426</v>
      </c>
      <c r="CI22" s="1626"/>
      <c r="CJ22" s="1641" t="str">
        <f t="shared" si="21"/>
        <v>Cùg Ng</v>
      </c>
      <c r="CK22" s="1641" t="str">
        <f t="shared" si="22"/>
        <v>- - -</v>
      </c>
      <c r="CL22" s="1626"/>
      <c r="CM22" s="1641"/>
      <c r="CN22" s="1641"/>
      <c r="CO22" s="1641"/>
      <c r="CP22" s="1641" t="str">
        <f t="shared" si="23"/>
        <v>- - -</v>
      </c>
      <c r="CQ22" s="1626"/>
      <c r="CR22" s="1641"/>
      <c r="CS22" s="1641"/>
      <c r="CT22" s="1662"/>
      <c r="CU22" s="1574" t="str">
        <f t="shared" si="24"/>
        <v>---</v>
      </c>
      <c r="CV22" s="1661" t="str">
        <f t="shared" si="25"/>
        <v>/-/ /-/</v>
      </c>
      <c r="CW22" s="1661">
        <f t="shared" si="26"/>
        <v>4</v>
      </c>
      <c r="CX22" s="1661">
        <f t="shared" si="27"/>
        <v>2038</v>
      </c>
      <c r="CY22" s="1661">
        <f t="shared" si="28"/>
        <v>1</v>
      </c>
      <c r="CZ22" s="1661">
        <f t="shared" si="29"/>
        <v>2038</v>
      </c>
      <c r="DA22" s="1661">
        <f t="shared" si="30"/>
        <v>10</v>
      </c>
      <c r="DB22" s="1663">
        <f t="shared" si="31"/>
        <v>2037</v>
      </c>
      <c r="DC22" s="1664" t="str">
        <f t="shared" si="32"/>
        <v>- - -</v>
      </c>
      <c r="DD22" s="1664" t="str">
        <f t="shared" si="33"/>
        <v>. .</v>
      </c>
      <c r="DE22" s="1652"/>
      <c r="DF22" s="1652">
        <f t="shared" si="34"/>
        <v>660</v>
      </c>
      <c r="DG22" s="1652">
        <f t="shared" si="35"/>
        <v>-23787</v>
      </c>
      <c r="DH22" s="1652">
        <f t="shared" si="36"/>
        <v>-1983</v>
      </c>
      <c r="DI22" s="1652" t="str">
        <f t="shared" si="37"/>
        <v>Nữ dưới 30</v>
      </c>
      <c r="DJ22" s="1652"/>
      <c r="DK22" s="1654"/>
      <c r="DL22" s="1641" t="str">
        <f t="shared" si="38"/>
        <v>Đến 30</v>
      </c>
      <c r="DM22" s="1626" t="str">
        <f t="shared" si="39"/>
        <v>TD</v>
      </c>
      <c r="DN22" s="1626">
        <v>2012</v>
      </c>
      <c r="DO22" s="1626"/>
      <c r="DP22" s="1626"/>
      <c r="DQ22" s="1641"/>
      <c r="DR22" s="1641"/>
      <c r="DS22" s="1665"/>
      <c r="DT22" s="1666"/>
      <c r="DU22" s="1642"/>
      <c r="DV22" s="1665"/>
      <c r="DW22" s="1637" t="s">
        <v>316</v>
      </c>
      <c r="DX22" s="1667" t="s">
        <v>119</v>
      </c>
      <c r="DY22" s="1667" t="s">
        <v>316</v>
      </c>
      <c r="DZ22" s="1667" t="s">
        <v>341</v>
      </c>
      <c r="EA22" s="1668" t="s">
        <v>359</v>
      </c>
      <c r="EB22" s="1667" t="s">
        <v>341</v>
      </c>
      <c r="EC22" s="1626" t="s">
        <v>359</v>
      </c>
      <c r="ED22" s="1637">
        <v>2012</v>
      </c>
      <c r="EE22" s="1667">
        <f t="shared" si="40"/>
        <v>0</v>
      </c>
      <c r="EF22" s="1667" t="str">
        <f t="shared" si="41"/>
        <v>- - -</v>
      </c>
      <c r="EG22" s="1667" t="s">
        <v>341</v>
      </c>
      <c r="EH22" s="1668" t="s">
        <v>359</v>
      </c>
      <c r="EI22" s="1626" t="s">
        <v>341</v>
      </c>
      <c r="EJ22" s="1641" t="s">
        <v>359</v>
      </c>
      <c r="EK22" s="1663">
        <v>2012</v>
      </c>
      <c r="EL22" s="1642"/>
      <c r="EM22" s="1661" t="str">
        <f t="shared" si="42"/>
        <v>- - -</v>
      </c>
      <c r="EN22" s="1661" t="str">
        <f t="shared" si="43"/>
        <v>---</v>
      </c>
    </row>
    <row r="23" spans="1:144" s="1661" customFormat="1" ht="33.75" customHeight="1" x14ac:dyDescent="0.2">
      <c r="A23" s="1626">
        <v>343</v>
      </c>
      <c r="B23" s="1627">
        <v>9</v>
      </c>
      <c r="C23" s="1626"/>
      <c r="D23" s="1626" t="str">
        <f t="shared" si="0"/>
        <v>Bà</v>
      </c>
      <c r="E23" s="1628" t="s">
        <v>328</v>
      </c>
      <c r="F23" s="1629" t="s">
        <v>380</v>
      </c>
      <c r="G23" s="1630" t="s">
        <v>370</v>
      </c>
      <c r="H23" s="1630" t="s">
        <v>359</v>
      </c>
      <c r="I23" s="1630" t="s">
        <v>345</v>
      </c>
      <c r="J23" s="599" t="s">
        <v>359</v>
      </c>
      <c r="K23" s="599" t="s">
        <v>319</v>
      </c>
      <c r="L23" s="599" t="s">
        <v>451</v>
      </c>
      <c r="M23" s="599" t="str">
        <f t="shared" si="1"/>
        <v>VC</v>
      </c>
      <c r="N23" s="599"/>
      <c r="O23" s="599" t="str">
        <f t="shared" si="2"/>
        <v>CVụ</v>
      </c>
      <c r="P23" s="599" t="s">
        <v>250</v>
      </c>
      <c r="Q23" s="1628">
        <f>VLOOKUP(P23,'- DLiêu Gốc -'!$C$2:$H$115,2,0)</f>
        <v>0.4</v>
      </c>
      <c r="R23" s="1631" t="s">
        <v>39</v>
      </c>
      <c r="S23" s="601" t="s">
        <v>119</v>
      </c>
      <c r="T23" s="1632" t="str">
        <f>VLOOKUP(Y23,'- DLiêu Gốc -'!$C$2:$H$60,5,0)</f>
        <v>A2</v>
      </c>
      <c r="U23" s="1632" t="str">
        <f>VLOOKUP(Y23,'- DLiêu Gốc -'!$C$2:$H$60,6,0)</f>
        <v>A2.1</v>
      </c>
      <c r="V23" s="1632" t="s">
        <v>424</v>
      </c>
      <c r="W23" s="1633" t="str">
        <f t="shared" si="3"/>
        <v>Giảng viên chính (hạng II)</v>
      </c>
      <c r="X23" s="640" t="str">
        <f t="shared" si="4"/>
        <v>V.07.01.02</v>
      </c>
      <c r="Y23" s="601" t="s">
        <v>431</v>
      </c>
      <c r="Z23" s="640" t="str">
        <f>VLOOKUP(Y23,'- DLiêu Gốc -'!$C$1:$H$133,2,0)</f>
        <v>V.07.01.02</v>
      </c>
      <c r="AA23" s="640" t="str">
        <f t="shared" si="5"/>
        <v>Lương</v>
      </c>
      <c r="AB23" s="1634">
        <v>4</v>
      </c>
      <c r="AC23" s="635" t="s">
        <v>359</v>
      </c>
      <c r="AD23" s="635">
        <v>8</v>
      </c>
      <c r="AE23" s="1635">
        <f t="shared" si="6"/>
        <v>5.42</v>
      </c>
      <c r="AF23" s="1636"/>
      <c r="AG23" s="601"/>
      <c r="AH23" s="1637"/>
      <c r="AI23" s="606" t="s">
        <v>359</v>
      </c>
      <c r="AJ23" s="1669" t="s">
        <v>341</v>
      </c>
      <c r="AK23" s="1639" t="s">
        <v>359</v>
      </c>
      <c r="AL23" s="1640">
        <v>2018</v>
      </c>
      <c r="AM23" s="1641"/>
      <c r="AN23" s="1642"/>
      <c r="AO23" s="1643">
        <f t="shared" si="44"/>
        <v>5</v>
      </c>
      <c r="AP23" s="1644" t="str">
        <f t="shared" si="45"/>
        <v>/</v>
      </c>
      <c r="AQ23" s="1645">
        <f t="shared" si="46"/>
        <v>8</v>
      </c>
      <c r="AR23" s="1646">
        <f t="shared" si="47"/>
        <v>5.76</v>
      </c>
      <c r="AS23" s="601"/>
      <c r="AT23" s="1647" t="s">
        <v>341</v>
      </c>
      <c r="AU23" s="1648" t="s">
        <v>359</v>
      </c>
      <c r="AV23" s="1638" t="s">
        <v>341</v>
      </c>
      <c r="AW23" s="1645" t="s">
        <v>359</v>
      </c>
      <c r="AX23" s="1649">
        <v>2021</v>
      </c>
      <c r="AY23" s="1650"/>
      <c r="AZ23" s="1641"/>
      <c r="BA23" s="1651">
        <v>1.18</v>
      </c>
      <c r="BB23" s="1652">
        <f t="shared" si="11"/>
        <v>3</v>
      </c>
      <c r="BC23" s="1653">
        <f t="shared" si="12"/>
        <v>-24253</v>
      </c>
      <c r="BD23" s="1653">
        <f>VLOOKUP(Y23,'- DLiêu Gốc -'!$C$1:$F$60,3,0)</f>
        <v>4.4000000000000004</v>
      </c>
      <c r="BE23" s="1654">
        <f>VLOOKUP(Y23,'- DLiêu Gốc -'!$C$1:$F$60,4,0)</f>
        <v>0.34</v>
      </c>
      <c r="BF23" s="1655" t="str">
        <f t="shared" si="13"/>
        <v>PCTN</v>
      </c>
      <c r="BG23" s="1656">
        <v>23</v>
      </c>
      <c r="BH23" s="1657" t="s">
        <v>332</v>
      </c>
      <c r="BI23" s="1658" t="s">
        <v>341</v>
      </c>
      <c r="BJ23" s="1659" t="s">
        <v>359</v>
      </c>
      <c r="BK23" s="1658">
        <v>4</v>
      </c>
      <c r="BL23" s="1642" t="s">
        <v>359</v>
      </c>
      <c r="BM23" s="1565">
        <v>2019</v>
      </c>
      <c r="BN23" s="1566"/>
      <c r="BO23" s="1655"/>
      <c r="BP23" s="1656">
        <f>IF(BG23&gt;3,BG23+1,0)</f>
        <v>24</v>
      </c>
      <c r="BQ23" s="1657" t="s">
        <v>332</v>
      </c>
      <c r="BR23" s="1658" t="s">
        <v>341</v>
      </c>
      <c r="BS23" s="1659" t="s">
        <v>359</v>
      </c>
      <c r="BT23" s="1658">
        <v>4</v>
      </c>
      <c r="BU23" s="1642" t="s">
        <v>359</v>
      </c>
      <c r="BV23" s="608">
        <v>2020</v>
      </c>
      <c r="BW23" s="1641"/>
      <c r="BX23" s="1654">
        <v>4</v>
      </c>
      <c r="BY23" s="1654">
        <f t="shared" si="14"/>
        <v>-24244</v>
      </c>
      <c r="BZ23" s="1642" t="str">
        <f t="shared" si="15"/>
        <v>- - -</v>
      </c>
      <c r="CA23" s="1660" t="str">
        <f t="shared" si="16"/>
        <v>Chánh Văn phòng Học viện, Trưởng Ban Tổ chức - Cán bộ, Trưởng Khoa Văn bản và Công nghệ hành chính</v>
      </c>
      <c r="CB23" s="1652" t="str">
        <f t="shared" si="17"/>
        <v>A</v>
      </c>
      <c r="CC23" s="1652" t="str">
        <f t="shared" si="18"/>
        <v>=&gt; s</v>
      </c>
      <c r="CD23" s="1626">
        <f t="shared" si="19"/>
        <v>24277</v>
      </c>
      <c r="CE23" s="1626" t="str">
        <f t="shared" si="20"/>
        <v>---</v>
      </c>
      <c r="CG23" s="1626"/>
      <c r="CI23" s="1626"/>
      <c r="CJ23" s="1641" t="str">
        <f t="shared" si="21"/>
        <v>- - -</v>
      </c>
      <c r="CK23" s="1641" t="str">
        <f t="shared" si="22"/>
        <v>NN</v>
      </c>
      <c r="CL23" s="1626">
        <v>1</v>
      </c>
      <c r="CM23" s="1641" t="s">
        <v>379</v>
      </c>
      <c r="CN23" s="1641"/>
      <c r="CO23" s="1641"/>
      <c r="CP23" s="1641" t="str">
        <f t="shared" si="23"/>
        <v>- - -</v>
      </c>
      <c r="CQ23" s="1626"/>
      <c r="CR23" s="1641"/>
      <c r="CS23" s="1641"/>
      <c r="CT23" s="1662"/>
      <c r="CU23" s="1574" t="str">
        <f t="shared" si="24"/>
        <v>---</v>
      </c>
      <c r="CV23" s="1661" t="str">
        <f t="shared" si="25"/>
        <v>/-/ /-/</v>
      </c>
      <c r="CW23" s="1661">
        <f t="shared" si="26"/>
        <v>9</v>
      </c>
      <c r="CX23" s="1661">
        <f t="shared" si="27"/>
        <v>2025</v>
      </c>
      <c r="CY23" s="1661">
        <f t="shared" si="28"/>
        <v>6</v>
      </c>
      <c r="CZ23" s="1661">
        <f t="shared" si="29"/>
        <v>2025</v>
      </c>
      <c r="DA23" s="1661">
        <f t="shared" si="30"/>
        <v>3</v>
      </c>
      <c r="DB23" s="1663">
        <f t="shared" si="31"/>
        <v>2025</v>
      </c>
      <c r="DC23" s="1664" t="str">
        <f t="shared" si="32"/>
        <v>- - -</v>
      </c>
      <c r="DD23" s="1664" t="str">
        <f t="shared" si="33"/>
        <v>. .</v>
      </c>
      <c r="DE23" s="1652"/>
      <c r="DF23" s="1652">
        <f t="shared" si="34"/>
        <v>660</v>
      </c>
      <c r="DG23" s="1652">
        <f t="shared" si="35"/>
        <v>-23636</v>
      </c>
      <c r="DH23" s="1652">
        <f t="shared" si="36"/>
        <v>-1970</v>
      </c>
      <c r="DI23" s="1652" t="str">
        <f t="shared" si="37"/>
        <v>Nữ dưới 30</v>
      </c>
      <c r="DJ23" s="1652"/>
      <c r="DK23" s="1654"/>
      <c r="DL23" s="1641" t="str">
        <f t="shared" si="38"/>
        <v>Đến 30</v>
      </c>
      <c r="DM23" s="1626" t="str">
        <f t="shared" si="39"/>
        <v>--</v>
      </c>
      <c r="DN23" s="1626"/>
      <c r="DO23" s="1626"/>
      <c r="DP23" s="1626"/>
      <c r="DQ23" s="1641"/>
      <c r="DR23" s="1641"/>
      <c r="DS23" s="1665"/>
      <c r="DT23" s="1666"/>
      <c r="DU23" s="1642"/>
      <c r="DV23" s="1665"/>
      <c r="DW23" s="1637" t="s">
        <v>39</v>
      </c>
      <c r="DX23" s="1667" t="s">
        <v>119</v>
      </c>
      <c r="DY23" s="1667" t="s">
        <v>39</v>
      </c>
      <c r="DZ23" s="1667" t="s">
        <v>341</v>
      </c>
      <c r="EA23" s="1668" t="s">
        <v>359</v>
      </c>
      <c r="EB23" s="1667" t="s">
        <v>341</v>
      </c>
      <c r="EC23" s="1626" t="s">
        <v>359</v>
      </c>
      <c r="ED23" s="1637" t="s">
        <v>377</v>
      </c>
      <c r="EE23" s="1667">
        <f t="shared" si="40"/>
        <v>0</v>
      </c>
      <c r="EF23" s="1667" t="str">
        <f t="shared" si="41"/>
        <v>- - -</v>
      </c>
      <c r="EG23" s="1667" t="s">
        <v>341</v>
      </c>
      <c r="EH23" s="1668" t="s">
        <v>359</v>
      </c>
      <c r="EI23" s="1626" t="s">
        <v>341</v>
      </c>
      <c r="EJ23" s="1641" t="s">
        <v>359</v>
      </c>
      <c r="EK23" s="1663" t="s">
        <v>377</v>
      </c>
      <c r="EL23" s="1642">
        <v>3.66</v>
      </c>
      <c r="EM23" s="1661" t="str">
        <f t="shared" si="42"/>
        <v>- - -</v>
      </c>
      <c r="EN23" s="1661" t="str">
        <f t="shared" si="43"/>
        <v>---</v>
      </c>
    </row>
    <row r="24" spans="1:144" s="1661" customFormat="1" ht="33.75" customHeight="1" x14ac:dyDescent="0.2">
      <c r="A24" s="1626">
        <v>361</v>
      </c>
      <c r="B24" s="1627">
        <v>10</v>
      </c>
      <c r="C24" s="1626"/>
      <c r="D24" s="1626" t="str">
        <f t="shared" si="0"/>
        <v>Bà</v>
      </c>
      <c r="E24" s="1628" t="s">
        <v>92</v>
      </c>
      <c r="F24" s="1629" t="s">
        <v>380</v>
      </c>
      <c r="G24" s="1630" t="s">
        <v>276</v>
      </c>
      <c r="H24" s="1630" t="s">
        <v>359</v>
      </c>
      <c r="I24" s="1630" t="s">
        <v>371</v>
      </c>
      <c r="J24" s="599" t="s">
        <v>359</v>
      </c>
      <c r="K24" s="599">
        <v>1989</v>
      </c>
      <c r="L24" s="599" t="s">
        <v>434</v>
      </c>
      <c r="M24" s="599" t="str">
        <f t="shared" si="1"/>
        <v>NLĐ</v>
      </c>
      <c r="N24" s="599"/>
      <c r="O24" s="599" t="e">
        <f t="shared" si="2"/>
        <v>#N/A</v>
      </c>
      <c r="P24" s="599"/>
      <c r="Q24" s="1628" t="e">
        <f>VLOOKUP(P24,'[1]- DLiêu Gốc (Không sửa)'!$C$2:$H$116,2,0)</f>
        <v>#N/A</v>
      </c>
      <c r="R24" s="1631" t="s">
        <v>606</v>
      </c>
      <c r="S24" s="601" t="s">
        <v>570</v>
      </c>
      <c r="T24" s="1632" t="str">
        <f>VLOOKUP(Y24,'- DLiêu Gốc -'!$C$2:$H$60,5,0)</f>
        <v>A1</v>
      </c>
      <c r="U24" s="1632" t="str">
        <f>VLOOKUP(Y24,'- DLiêu Gốc -'!$C$2:$H$60,6,0)</f>
        <v>- - -</v>
      </c>
      <c r="V24" s="1632" t="s">
        <v>425</v>
      </c>
      <c r="W24" s="1633" t="str">
        <f t="shared" si="3"/>
        <v>Chuyên viên</v>
      </c>
      <c r="X24" s="640" t="str">
        <f t="shared" si="4"/>
        <v>01.003</v>
      </c>
      <c r="Y24" s="601" t="s">
        <v>339</v>
      </c>
      <c r="Z24" s="640" t="str">
        <f>VLOOKUP(Y24,'- DLiêu Gốc -'!$C$1:$H$133,2,0)</f>
        <v>01.003</v>
      </c>
      <c r="AA24" s="640" t="str">
        <f t="shared" si="5"/>
        <v>Lương</v>
      </c>
      <c r="AB24" s="1634">
        <v>2</v>
      </c>
      <c r="AC24" s="635" t="s">
        <v>359</v>
      </c>
      <c r="AD24" s="635">
        <v>9</v>
      </c>
      <c r="AE24" s="1635">
        <f t="shared" si="6"/>
        <v>2.67</v>
      </c>
      <c r="AF24" s="1636"/>
      <c r="AG24" s="601"/>
      <c r="AH24" s="1637"/>
      <c r="AI24" s="606" t="s">
        <v>359</v>
      </c>
      <c r="AJ24" s="1669" t="s">
        <v>370</v>
      </c>
      <c r="AK24" s="1639" t="s">
        <v>359</v>
      </c>
      <c r="AL24" s="1640">
        <v>2017</v>
      </c>
      <c r="AM24" s="1641">
        <v>3</v>
      </c>
      <c r="AN24" s="1642" t="s">
        <v>600</v>
      </c>
      <c r="AO24" s="1643">
        <f t="shared" si="44"/>
        <v>3</v>
      </c>
      <c r="AP24" s="1644" t="str">
        <f t="shared" si="45"/>
        <v>/</v>
      </c>
      <c r="AQ24" s="1645">
        <f t="shared" si="46"/>
        <v>9</v>
      </c>
      <c r="AR24" s="1646">
        <f t="shared" si="47"/>
        <v>3</v>
      </c>
      <c r="AS24" s="601"/>
      <c r="AT24" s="1647" t="s">
        <v>341</v>
      </c>
      <c r="AU24" s="1648" t="s">
        <v>359</v>
      </c>
      <c r="AV24" s="1638" t="s">
        <v>341</v>
      </c>
      <c r="AW24" s="1645" t="s">
        <v>359</v>
      </c>
      <c r="AX24" s="1649">
        <v>2021</v>
      </c>
      <c r="AY24" s="1650"/>
      <c r="AZ24" s="1641"/>
      <c r="BA24" s="1651"/>
      <c r="BB24" s="1652">
        <f t="shared" si="11"/>
        <v>3</v>
      </c>
      <c r="BC24" s="1653">
        <f t="shared" si="12"/>
        <v>-24256</v>
      </c>
      <c r="BD24" s="1653">
        <f>VLOOKUP(Y24,'- DLiêu Gốc -'!$C$1:$F$60,3,0)</f>
        <v>2.34</v>
      </c>
      <c r="BE24" s="1654">
        <f>VLOOKUP(Y24,'- DLiêu Gốc -'!$C$1:$F$60,4,0)</f>
        <v>0.33</v>
      </c>
      <c r="BF24" s="1655" t="str">
        <f t="shared" si="13"/>
        <v>o-o-o</v>
      </c>
      <c r="BG24" s="1656"/>
      <c r="BH24" s="1657"/>
      <c r="BI24" s="1658"/>
      <c r="BJ24" s="1659"/>
      <c r="BK24" s="1658"/>
      <c r="BL24" s="1642"/>
      <c r="BM24" s="1565"/>
      <c r="BN24" s="1566"/>
      <c r="BO24" s="1655"/>
      <c r="BP24" s="1656"/>
      <c r="BQ24" s="1657"/>
      <c r="BR24" s="1658"/>
      <c r="BS24" s="1659"/>
      <c r="BT24" s="1658"/>
      <c r="BU24" s="1642"/>
      <c r="BV24" s="608"/>
      <c r="BW24" s="1641"/>
      <c r="BX24" s="1654"/>
      <c r="BY24" s="1654" t="str">
        <f t="shared" si="14"/>
        <v>- - -</v>
      </c>
      <c r="BZ24" s="1642" t="str">
        <f t="shared" si="15"/>
        <v>- - -</v>
      </c>
      <c r="CA24" s="1660" t="str">
        <f t="shared" si="16"/>
        <v>Chánh Văn phòng Học viện, Trưởng Ban Tổ chức - Cán bộ, Trưởng Ban Tổ chức cán bộ</v>
      </c>
      <c r="CB24" s="1652" t="str">
        <f t="shared" si="17"/>
        <v>A</v>
      </c>
      <c r="CC24" s="1652" t="str">
        <f t="shared" si="18"/>
        <v>=&gt; s</v>
      </c>
      <c r="CD24" s="1626">
        <f t="shared" si="19"/>
        <v>24280</v>
      </c>
      <c r="CE24" s="1626" t="str">
        <f t="shared" si="20"/>
        <v>---</v>
      </c>
      <c r="CG24" s="1626"/>
      <c r="CI24" s="1626"/>
      <c r="CJ24" s="1641" t="str">
        <f t="shared" si="21"/>
        <v>- - -</v>
      </c>
      <c r="CK24" s="1641" t="str">
        <f t="shared" si="22"/>
        <v>- - -</v>
      </c>
      <c r="CL24" s="1626"/>
      <c r="CM24" s="1641"/>
      <c r="CN24" s="1641"/>
      <c r="CO24" s="1641"/>
      <c r="CP24" s="1641" t="str">
        <f t="shared" si="23"/>
        <v>- - -</v>
      </c>
      <c r="CQ24" s="1626"/>
      <c r="CR24" s="1641"/>
      <c r="CS24" s="1641"/>
      <c r="CT24" s="1662"/>
      <c r="CU24" s="1574" t="str">
        <f t="shared" si="24"/>
        <v>---</v>
      </c>
      <c r="CV24" s="1661" t="str">
        <f t="shared" si="25"/>
        <v>/-/ /-/</v>
      </c>
      <c r="CW24" s="1661">
        <f t="shared" si="26"/>
        <v>12</v>
      </c>
      <c r="CX24" s="1661">
        <f t="shared" si="27"/>
        <v>2044</v>
      </c>
      <c r="CY24" s="1661">
        <f t="shared" si="28"/>
        <v>9</v>
      </c>
      <c r="CZ24" s="1661">
        <f t="shared" si="29"/>
        <v>2044</v>
      </c>
      <c r="DA24" s="1661">
        <f t="shared" si="30"/>
        <v>6</v>
      </c>
      <c r="DB24" s="1663">
        <f t="shared" si="31"/>
        <v>2044</v>
      </c>
      <c r="DC24" s="1664" t="str">
        <f t="shared" si="32"/>
        <v>- - -</v>
      </c>
      <c r="DD24" s="1664" t="str">
        <f t="shared" si="33"/>
        <v>. .</v>
      </c>
      <c r="DE24" s="1652"/>
      <c r="DF24" s="1652">
        <f t="shared" si="34"/>
        <v>660</v>
      </c>
      <c r="DG24" s="1652">
        <f t="shared" si="35"/>
        <v>-23867</v>
      </c>
      <c r="DH24" s="1652">
        <f t="shared" si="36"/>
        <v>-1989</v>
      </c>
      <c r="DI24" s="1652" t="str">
        <f t="shared" si="37"/>
        <v>Nữ dưới 30</v>
      </c>
      <c r="DJ24" s="1652"/>
      <c r="DK24" s="1654"/>
      <c r="DL24" s="1641" t="str">
        <f t="shared" si="38"/>
        <v>Đến 30</v>
      </c>
      <c r="DM24" s="1626" t="str">
        <f t="shared" si="39"/>
        <v>--</v>
      </c>
      <c r="DN24" s="1626"/>
      <c r="DO24" s="1626"/>
      <c r="DP24" s="1626"/>
      <c r="DQ24" s="1641"/>
      <c r="DR24" s="1641"/>
      <c r="DS24" s="1665"/>
      <c r="DT24" s="1666"/>
      <c r="DU24" s="1642"/>
      <c r="DV24" s="1665"/>
      <c r="DW24" s="1637"/>
      <c r="DX24" s="1667" t="s">
        <v>113</v>
      </c>
      <c r="DY24" s="1667"/>
      <c r="DZ24" s="1667"/>
      <c r="EA24" s="1668"/>
      <c r="EB24" s="1667"/>
      <c r="EC24" s="1626"/>
      <c r="ED24" s="1637"/>
      <c r="EE24" s="1667">
        <f t="shared" si="40"/>
        <v>0</v>
      </c>
      <c r="EF24" s="1667" t="str">
        <f t="shared" si="41"/>
        <v>- - -</v>
      </c>
      <c r="EG24" s="1667"/>
      <c r="EH24" s="1668"/>
      <c r="EI24" s="1626"/>
      <c r="EJ24" s="1641"/>
      <c r="EK24" s="1663"/>
      <c r="EL24" s="1642"/>
      <c r="EM24" s="1661" t="str">
        <f t="shared" si="42"/>
        <v>- - -</v>
      </c>
      <c r="EN24" s="1661" t="str">
        <f t="shared" si="43"/>
        <v>---</v>
      </c>
    </row>
    <row r="25" spans="1:144" s="1661" customFormat="1" ht="33.75" customHeight="1" x14ac:dyDescent="0.2">
      <c r="A25" s="1626">
        <v>378</v>
      </c>
      <c r="B25" s="1627">
        <v>11</v>
      </c>
      <c r="C25" s="1626"/>
      <c r="D25" s="1626" t="str">
        <f t="shared" si="0"/>
        <v>Bà</v>
      </c>
      <c r="E25" s="1628" t="s">
        <v>285</v>
      </c>
      <c r="F25" s="1629" t="s">
        <v>380</v>
      </c>
      <c r="G25" s="1630" t="s">
        <v>273</v>
      </c>
      <c r="H25" s="1630" t="s">
        <v>359</v>
      </c>
      <c r="I25" s="1630" t="s">
        <v>342</v>
      </c>
      <c r="J25" s="599" t="s">
        <v>359</v>
      </c>
      <c r="K25" s="599" t="s">
        <v>0</v>
      </c>
      <c r="L25" s="599" t="s">
        <v>451</v>
      </c>
      <c r="M25" s="599" t="str">
        <f t="shared" si="1"/>
        <v>VC</v>
      </c>
      <c r="N25" s="599"/>
      <c r="O25" s="599" t="e">
        <f t="shared" si="2"/>
        <v>#N/A</v>
      </c>
      <c r="P25" s="599"/>
      <c r="Q25" s="1628" t="e">
        <f>VLOOKUP(P25,'- DLiêu Gốc -'!$C$2:$H$115,2,0)</f>
        <v>#N/A</v>
      </c>
      <c r="R25" s="1631" t="s">
        <v>605</v>
      </c>
      <c r="S25" s="601" t="s">
        <v>563</v>
      </c>
      <c r="T25" s="1632" t="str">
        <f>VLOOKUP(Y25,'- DLiêu Gốc -'!$C$2:$H$60,5,0)</f>
        <v>A1</v>
      </c>
      <c r="U25" s="1632" t="str">
        <f>VLOOKUP(Y25,'- DLiêu Gốc -'!$C$2:$H$60,6,0)</f>
        <v>- - -</v>
      </c>
      <c r="V25" s="1632" t="s">
        <v>425</v>
      </c>
      <c r="W25" s="1633" t="str">
        <f t="shared" si="3"/>
        <v>Chuyên viên</v>
      </c>
      <c r="X25" s="640" t="str">
        <f t="shared" si="4"/>
        <v>01.003</v>
      </c>
      <c r="Y25" s="601" t="s">
        <v>339</v>
      </c>
      <c r="Z25" s="640" t="str">
        <f>VLOOKUP(Y25,'- DLiêu Gốc -'!$C$1:$H$133,2,0)</f>
        <v>01.003</v>
      </c>
      <c r="AA25" s="640" t="str">
        <f t="shared" si="5"/>
        <v>Lương</v>
      </c>
      <c r="AB25" s="1634">
        <v>7</v>
      </c>
      <c r="AC25" s="635" t="s">
        <v>359</v>
      </c>
      <c r="AD25" s="635">
        <v>9</v>
      </c>
      <c r="AE25" s="1635">
        <f t="shared" si="6"/>
        <v>4.32</v>
      </c>
      <c r="AF25" s="1636"/>
      <c r="AG25" s="601"/>
      <c r="AH25" s="1637"/>
      <c r="AI25" s="606" t="s">
        <v>359</v>
      </c>
      <c r="AJ25" s="1669" t="s">
        <v>341</v>
      </c>
      <c r="AK25" s="1639" t="s">
        <v>359</v>
      </c>
      <c r="AL25" s="1640">
        <v>2018</v>
      </c>
      <c r="AM25" s="1641"/>
      <c r="AN25" s="1642"/>
      <c r="AO25" s="1643">
        <f t="shared" si="44"/>
        <v>8</v>
      </c>
      <c r="AP25" s="1644" t="str">
        <f t="shared" si="45"/>
        <v>/</v>
      </c>
      <c r="AQ25" s="1645">
        <f t="shared" si="46"/>
        <v>9</v>
      </c>
      <c r="AR25" s="1646">
        <f t="shared" si="47"/>
        <v>4.6500000000000004</v>
      </c>
      <c r="AS25" s="601"/>
      <c r="AT25" s="1647" t="s">
        <v>341</v>
      </c>
      <c r="AU25" s="1648" t="s">
        <v>359</v>
      </c>
      <c r="AV25" s="1638" t="s">
        <v>341</v>
      </c>
      <c r="AW25" s="1645" t="s">
        <v>359</v>
      </c>
      <c r="AX25" s="1649">
        <v>2021</v>
      </c>
      <c r="AY25" s="1650"/>
      <c r="AZ25" s="1641"/>
      <c r="BA25" s="1651">
        <v>1.18</v>
      </c>
      <c r="BB25" s="1652">
        <f t="shared" si="11"/>
        <v>3</v>
      </c>
      <c r="BC25" s="1653">
        <f t="shared" si="12"/>
        <v>-24253</v>
      </c>
      <c r="BD25" s="1653">
        <f>VLOOKUP(Y25,'- DLiêu Gốc -'!$C$1:$F$60,3,0)</f>
        <v>2.34</v>
      </c>
      <c r="BE25" s="1654">
        <f>VLOOKUP(Y25,'- DLiêu Gốc -'!$C$1:$F$60,4,0)</f>
        <v>0.33</v>
      </c>
      <c r="BF25" s="1655" t="str">
        <f t="shared" si="13"/>
        <v>o-o-o</v>
      </c>
      <c r="BG25" s="1656"/>
      <c r="BH25" s="1657"/>
      <c r="BI25" s="1658"/>
      <c r="BJ25" s="1659"/>
      <c r="BK25" s="1658"/>
      <c r="BL25" s="1642"/>
      <c r="BM25" s="1565"/>
      <c r="BN25" s="1566"/>
      <c r="BO25" s="1655"/>
      <c r="BP25" s="1656"/>
      <c r="BQ25" s="1657"/>
      <c r="BR25" s="1658"/>
      <c r="BS25" s="1659"/>
      <c r="BT25" s="1658"/>
      <c r="BU25" s="1642"/>
      <c r="BV25" s="608"/>
      <c r="BW25" s="1641"/>
      <c r="BX25" s="1654"/>
      <c r="BY25" s="1654" t="str">
        <f t="shared" si="14"/>
        <v>- - -</v>
      </c>
      <c r="BZ25" s="1642" t="str">
        <f t="shared" si="15"/>
        <v>- - -</v>
      </c>
      <c r="CA25" s="1660" t="str">
        <f t="shared" si="16"/>
        <v>Chánh Văn phòng Học viện, Trưởng Ban Tổ chức - Cán bộ, Trưởng Ban Quản lý bồi dưỡng</v>
      </c>
      <c r="CB25" s="1652" t="str">
        <f t="shared" si="17"/>
        <v>A</v>
      </c>
      <c r="CC25" s="1652" t="str">
        <f t="shared" si="18"/>
        <v>=&gt; s</v>
      </c>
      <c r="CD25" s="1626">
        <f t="shared" si="19"/>
        <v>24277</v>
      </c>
      <c r="CE25" s="1626" t="str">
        <f t="shared" si="20"/>
        <v>---</v>
      </c>
      <c r="CG25" s="1626"/>
      <c r="CI25" s="1626"/>
      <c r="CJ25" s="1641" t="str">
        <f t="shared" si="21"/>
        <v>- - -</v>
      </c>
      <c r="CK25" s="1641" t="str">
        <f t="shared" si="22"/>
        <v>- - -</v>
      </c>
      <c r="CL25" s="1626"/>
      <c r="CM25" s="1641"/>
      <c r="CN25" s="1641"/>
      <c r="CO25" s="1641"/>
      <c r="CP25" s="1641" t="str">
        <f t="shared" si="23"/>
        <v>- - -</v>
      </c>
      <c r="CQ25" s="1626"/>
      <c r="CR25" s="1641"/>
      <c r="CS25" s="1641"/>
      <c r="CT25" s="1662"/>
      <c r="CU25" s="1574" t="str">
        <f t="shared" si="24"/>
        <v>---</v>
      </c>
      <c r="CV25" s="1661" t="str">
        <f t="shared" si="25"/>
        <v>/-/ /-/</v>
      </c>
      <c r="CW25" s="1661">
        <f t="shared" si="26"/>
        <v>3</v>
      </c>
      <c r="CX25" s="1661">
        <f t="shared" si="27"/>
        <v>2031</v>
      </c>
      <c r="CY25" s="1661">
        <f t="shared" si="28"/>
        <v>12</v>
      </c>
      <c r="CZ25" s="1661">
        <f t="shared" si="29"/>
        <v>2030</v>
      </c>
      <c r="DA25" s="1661">
        <f t="shared" si="30"/>
        <v>9</v>
      </c>
      <c r="DB25" s="1663">
        <f t="shared" si="31"/>
        <v>2030</v>
      </c>
      <c r="DC25" s="1664" t="str">
        <f t="shared" si="32"/>
        <v>- - -</v>
      </c>
      <c r="DD25" s="1664" t="str">
        <f t="shared" si="33"/>
        <v>. .</v>
      </c>
      <c r="DE25" s="1652"/>
      <c r="DF25" s="1652">
        <f t="shared" si="34"/>
        <v>660</v>
      </c>
      <c r="DG25" s="1652">
        <f t="shared" si="35"/>
        <v>-23702</v>
      </c>
      <c r="DH25" s="1652">
        <f t="shared" si="36"/>
        <v>-1976</v>
      </c>
      <c r="DI25" s="1652" t="str">
        <f t="shared" si="37"/>
        <v>Nữ dưới 30</v>
      </c>
      <c r="DJ25" s="1652"/>
      <c r="DK25" s="1654"/>
      <c r="DL25" s="1641" t="str">
        <f t="shared" si="38"/>
        <v>Đến 30</v>
      </c>
      <c r="DM25" s="1626" t="str">
        <f t="shared" si="39"/>
        <v>TD</v>
      </c>
      <c r="DN25" s="1626" t="s">
        <v>363</v>
      </c>
      <c r="DO25" s="1626"/>
      <c r="DP25" s="1626"/>
      <c r="DQ25" s="1641"/>
      <c r="DR25" s="1641"/>
      <c r="DS25" s="1665"/>
      <c r="DT25" s="1666"/>
      <c r="DU25" s="1642"/>
      <c r="DV25" s="1665"/>
      <c r="DW25" s="1637" t="s">
        <v>367</v>
      </c>
      <c r="DX25" s="1667" t="s">
        <v>106</v>
      </c>
      <c r="DY25" s="1667" t="s">
        <v>367</v>
      </c>
      <c r="DZ25" s="1667" t="s">
        <v>341</v>
      </c>
      <c r="EA25" s="1668" t="s">
        <v>359</v>
      </c>
      <c r="EB25" s="1667" t="s">
        <v>341</v>
      </c>
      <c r="EC25" s="1626" t="s">
        <v>359</v>
      </c>
      <c r="ED25" s="1637" t="s">
        <v>377</v>
      </c>
      <c r="EE25" s="1667">
        <f t="shared" si="40"/>
        <v>0</v>
      </c>
      <c r="EF25" s="1667" t="str">
        <f t="shared" si="41"/>
        <v>- - -</v>
      </c>
      <c r="EG25" s="1667" t="s">
        <v>341</v>
      </c>
      <c r="EH25" s="1668" t="s">
        <v>359</v>
      </c>
      <c r="EI25" s="1626" t="s">
        <v>341</v>
      </c>
      <c r="EJ25" s="1641" t="s">
        <v>359</v>
      </c>
      <c r="EK25" s="1663" t="s">
        <v>377</v>
      </c>
      <c r="EL25" s="1642"/>
      <c r="EM25" s="1661" t="str">
        <f t="shared" si="42"/>
        <v>- - -</v>
      </c>
      <c r="EN25" s="1661" t="str">
        <f t="shared" si="43"/>
        <v>---</v>
      </c>
    </row>
    <row r="26" spans="1:144" s="1661" customFormat="1" ht="33.75" customHeight="1" x14ac:dyDescent="0.2">
      <c r="A26" s="1626">
        <v>394</v>
      </c>
      <c r="B26" s="1627">
        <v>12</v>
      </c>
      <c r="C26" s="1626"/>
      <c r="D26" s="1626" t="str">
        <f t="shared" si="0"/>
        <v>Ông</v>
      </c>
      <c r="E26" s="1628" t="s">
        <v>306</v>
      </c>
      <c r="F26" s="1629" t="s">
        <v>378</v>
      </c>
      <c r="G26" s="1630" t="s">
        <v>276</v>
      </c>
      <c r="H26" s="1630" t="s">
        <v>359</v>
      </c>
      <c r="I26" s="1630" t="s">
        <v>348</v>
      </c>
      <c r="J26" s="599" t="s">
        <v>359</v>
      </c>
      <c r="K26" s="599" t="s">
        <v>324</v>
      </c>
      <c r="L26" s="599" t="s">
        <v>451</v>
      </c>
      <c r="M26" s="599" t="str">
        <f t="shared" si="1"/>
        <v>VC</v>
      </c>
      <c r="N26" s="599"/>
      <c r="O26" s="599" t="e">
        <f t="shared" si="2"/>
        <v>#N/A</v>
      </c>
      <c r="P26" s="599"/>
      <c r="Q26" s="1628" t="e">
        <f>VLOOKUP(P26,'- DLiêu Gốc -'!$C$2:$H$115,2,0)</f>
        <v>#N/A</v>
      </c>
      <c r="R26" s="1631" t="s">
        <v>605</v>
      </c>
      <c r="S26" s="601" t="s">
        <v>563</v>
      </c>
      <c r="T26" s="1632" t="str">
        <f>VLOOKUP(Y26,'- DLiêu Gốc -'!$C$2:$H$60,5,0)</f>
        <v>A2</v>
      </c>
      <c r="U26" s="1632" t="str">
        <f>VLOOKUP(Y26,'- DLiêu Gốc -'!$C$2:$H$60,6,0)</f>
        <v>A2.1</v>
      </c>
      <c r="V26" s="1632" t="s">
        <v>425</v>
      </c>
      <c r="W26" s="1633" t="str">
        <f t="shared" si="3"/>
        <v>Chuyên viên chính</v>
      </c>
      <c r="X26" s="640" t="str">
        <f t="shared" si="4"/>
        <v>01.002</v>
      </c>
      <c r="Y26" s="601" t="s">
        <v>351</v>
      </c>
      <c r="Z26" s="640" t="str">
        <f>VLOOKUP(Y26,'- DLiêu Gốc -'!$C$1:$H$133,2,0)</f>
        <v>01.002</v>
      </c>
      <c r="AA26" s="640" t="str">
        <f t="shared" si="5"/>
        <v>Lương</v>
      </c>
      <c r="AB26" s="1634">
        <v>4</v>
      </c>
      <c r="AC26" s="635" t="s">
        <v>359</v>
      </c>
      <c r="AD26" s="635">
        <v>8</v>
      </c>
      <c r="AE26" s="1635">
        <f t="shared" si="6"/>
        <v>5.42</v>
      </c>
      <c r="AF26" s="1636"/>
      <c r="AG26" s="601"/>
      <c r="AH26" s="1637"/>
      <c r="AI26" s="606" t="s">
        <v>359</v>
      </c>
      <c r="AJ26" s="1669" t="s">
        <v>341</v>
      </c>
      <c r="AK26" s="1639" t="s">
        <v>359</v>
      </c>
      <c r="AL26" s="1640">
        <v>2018</v>
      </c>
      <c r="AM26" s="1641"/>
      <c r="AN26" s="1642"/>
      <c r="AO26" s="1643">
        <f t="shared" si="44"/>
        <v>5</v>
      </c>
      <c r="AP26" s="1644" t="str">
        <f t="shared" si="45"/>
        <v>/</v>
      </c>
      <c r="AQ26" s="1645">
        <f t="shared" si="46"/>
        <v>8</v>
      </c>
      <c r="AR26" s="1646">
        <f t="shared" si="47"/>
        <v>5.76</v>
      </c>
      <c r="AS26" s="601"/>
      <c r="AT26" s="1647" t="s">
        <v>341</v>
      </c>
      <c r="AU26" s="1648" t="s">
        <v>359</v>
      </c>
      <c r="AV26" s="1638" t="s">
        <v>341</v>
      </c>
      <c r="AW26" s="1645" t="s">
        <v>359</v>
      </c>
      <c r="AX26" s="1649">
        <v>2021</v>
      </c>
      <c r="AY26" s="1650"/>
      <c r="AZ26" s="1641"/>
      <c r="BA26" s="1651">
        <v>1.18</v>
      </c>
      <c r="BB26" s="1652">
        <f t="shared" si="11"/>
        <v>3</v>
      </c>
      <c r="BC26" s="1653">
        <f t="shared" si="12"/>
        <v>-24253</v>
      </c>
      <c r="BD26" s="1653">
        <f>VLOOKUP(Y26,'- DLiêu Gốc -'!$C$1:$F$60,3,0)</f>
        <v>4.4000000000000004</v>
      </c>
      <c r="BE26" s="1654">
        <f>VLOOKUP(Y26,'- DLiêu Gốc -'!$C$1:$F$60,4,0)</f>
        <v>0.34</v>
      </c>
      <c r="BF26" s="1655" t="str">
        <f t="shared" si="13"/>
        <v>o-o-o</v>
      </c>
      <c r="BG26" s="1656"/>
      <c r="BH26" s="1657"/>
      <c r="BI26" s="1658"/>
      <c r="BJ26" s="1659"/>
      <c r="BK26" s="1658"/>
      <c r="BL26" s="1642"/>
      <c r="BM26" s="1565"/>
      <c r="BN26" s="1566"/>
      <c r="BO26" s="1655"/>
      <c r="BP26" s="1656"/>
      <c r="BQ26" s="1657"/>
      <c r="BR26" s="1658"/>
      <c r="BS26" s="1659"/>
      <c r="BT26" s="1658"/>
      <c r="BU26" s="1642"/>
      <c r="BV26" s="608"/>
      <c r="BW26" s="1641"/>
      <c r="BX26" s="1654"/>
      <c r="BY26" s="1654" t="str">
        <f t="shared" si="14"/>
        <v>- - -</v>
      </c>
      <c r="BZ26" s="1642" t="str">
        <f t="shared" si="15"/>
        <v>- - -</v>
      </c>
      <c r="CA26" s="1660" t="str">
        <f t="shared" si="16"/>
        <v>Chánh Văn phòng Học viện, Trưởng Ban Tổ chức - Cán bộ, Trưởng Ban Quản lý bồi dưỡng</v>
      </c>
      <c r="CB26" s="1652" t="str">
        <f t="shared" si="17"/>
        <v>A</v>
      </c>
      <c r="CC26" s="1652" t="str">
        <f t="shared" si="18"/>
        <v>=&gt; s</v>
      </c>
      <c r="CD26" s="1626">
        <f t="shared" si="19"/>
        <v>24277</v>
      </c>
      <c r="CE26" s="1626" t="str">
        <f t="shared" si="20"/>
        <v>---</v>
      </c>
      <c r="CG26" s="1626"/>
      <c r="CI26" s="1626"/>
      <c r="CJ26" s="1641" t="str">
        <f t="shared" si="21"/>
        <v>- - -</v>
      </c>
      <c r="CK26" s="1641" t="str">
        <f t="shared" si="22"/>
        <v>NN</v>
      </c>
      <c r="CL26" s="1626">
        <v>1</v>
      </c>
      <c r="CM26" s="1641" t="s">
        <v>379</v>
      </c>
      <c r="CN26" s="1641"/>
      <c r="CO26" s="1641"/>
      <c r="CP26" s="1641" t="str">
        <f t="shared" si="23"/>
        <v>- - -</v>
      </c>
      <c r="CQ26" s="1626"/>
      <c r="CR26" s="1641"/>
      <c r="CS26" s="1641"/>
      <c r="CT26" s="1662"/>
      <c r="CU26" s="1574" t="str">
        <f t="shared" si="24"/>
        <v>---</v>
      </c>
      <c r="CV26" s="1661" t="str">
        <f t="shared" si="25"/>
        <v>/-/ /-/</v>
      </c>
      <c r="CW26" s="1661">
        <f t="shared" si="26"/>
        <v>10</v>
      </c>
      <c r="CX26" s="1661">
        <f t="shared" si="27"/>
        <v>2029</v>
      </c>
      <c r="CY26" s="1661">
        <f t="shared" si="28"/>
        <v>7</v>
      </c>
      <c r="CZ26" s="1661">
        <f t="shared" si="29"/>
        <v>2029</v>
      </c>
      <c r="DA26" s="1661">
        <f t="shared" si="30"/>
        <v>4</v>
      </c>
      <c r="DB26" s="1663">
        <f t="shared" si="31"/>
        <v>2029</v>
      </c>
      <c r="DC26" s="1664" t="str">
        <f t="shared" si="32"/>
        <v>- - -</v>
      </c>
      <c r="DD26" s="1664" t="str">
        <f t="shared" si="33"/>
        <v>. .</v>
      </c>
      <c r="DE26" s="1652"/>
      <c r="DF26" s="1652">
        <f t="shared" si="34"/>
        <v>720</v>
      </c>
      <c r="DG26" s="1652">
        <f t="shared" si="35"/>
        <v>-23625</v>
      </c>
      <c r="DH26" s="1652">
        <f t="shared" si="36"/>
        <v>-1969</v>
      </c>
      <c r="DI26" s="1652" t="str">
        <f t="shared" si="37"/>
        <v>Nam dưới 35</v>
      </c>
      <c r="DJ26" s="1652"/>
      <c r="DK26" s="1654"/>
      <c r="DL26" s="1641" t="str">
        <f t="shared" si="38"/>
        <v>Đến 30</v>
      </c>
      <c r="DM26" s="1626" t="str">
        <f t="shared" si="39"/>
        <v>--</v>
      </c>
      <c r="DN26" s="1626"/>
      <c r="DO26" s="1626"/>
      <c r="DP26" s="1626"/>
      <c r="DQ26" s="1641"/>
      <c r="DR26" s="1641"/>
      <c r="DS26" s="1665"/>
      <c r="DT26" s="1666"/>
      <c r="DU26" s="1642"/>
      <c r="DV26" s="1665"/>
      <c r="DW26" s="1637" t="s">
        <v>364</v>
      </c>
      <c r="DX26" s="1667" t="s">
        <v>106</v>
      </c>
      <c r="DY26" s="1667" t="s">
        <v>364</v>
      </c>
      <c r="DZ26" s="1667" t="s">
        <v>341</v>
      </c>
      <c r="EA26" s="1668" t="s">
        <v>359</v>
      </c>
      <c r="EB26" s="1667" t="s">
        <v>341</v>
      </c>
      <c r="EC26" s="1626" t="s">
        <v>359</v>
      </c>
      <c r="ED26" s="1637" t="s">
        <v>377</v>
      </c>
      <c r="EE26" s="1667">
        <f t="shared" si="40"/>
        <v>0</v>
      </c>
      <c r="EF26" s="1667" t="str">
        <f t="shared" si="41"/>
        <v>- - -</v>
      </c>
      <c r="EG26" s="1667" t="s">
        <v>341</v>
      </c>
      <c r="EH26" s="1668" t="s">
        <v>359</v>
      </c>
      <c r="EI26" s="1626" t="s">
        <v>341</v>
      </c>
      <c r="EJ26" s="1641" t="s">
        <v>359</v>
      </c>
      <c r="EK26" s="1663" t="s">
        <v>377</v>
      </c>
      <c r="EL26" s="1642">
        <v>3.99</v>
      </c>
      <c r="EM26" s="1661" t="str">
        <f t="shared" si="42"/>
        <v>- - -</v>
      </c>
      <c r="EN26" s="1661" t="str">
        <f t="shared" si="43"/>
        <v>---</v>
      </c>
    </row>
    <row r="27" spans="1:144" s="1661" customFormat="1" ht="33.75" customHeight="1" x14ac:dyDescent="0.2">
      <c r="A27" s="1626">
        <v>396</v>
      </c>
      <c r="B27" s="1627">
        <v>13</v>
      </c>
      <c r="C27" s="1626"/>
      <c r="D27" s="1626" t="str">
        <f t="shared" si="0"/>
        <v>Bà</v>
      </c>
      <c r="E27" s="1628" t="s">
        <v>302</v>
      </c>
      <c r="F27" s="1629" t="s">
        <v>380</v>
      </c>
      <c r="G27" s="1630" t="s">
        <v>350</v>
      </c>
      <c r="H27" s="1630" t="s">
        <v>359</v>
      </c>
      <c r="I27" s="1630" t="s">
        <v>342</v>
      </c>
      <c r="J27" s="599" t="s">
        <v>359</v>
      </c>
      <c r="K27" s="599">
        <v>1981</v>
      </c>
      <c r="L27" s="599" t="s">
        <v>451</v>
      </c>
      <c r="M27" s="599" t="str">
        <f t="shared" si="1"/>
        <v>VC</v>
      </c>
      <c r="N27" s="599"/>
      <c r="O27" s="599" t="e">
        <f t="shared" si="2"/>
        <v>#N/A</v>
      </c>
      <c r="P27" s="599"/>
      <c r="Q27" s="1628" t="e">
        <f>VLOOKUP(P27,'- DLiêu Gốc -'!$C$2:$H$115,2,0)</f>
        <v>#N/A</v>
      </c>
      <c r="R27" s="1631" t="s">
        <v>605</v>
      </c>
      <c r="S27" s="601" t="s">
        <v>563</v>
      </c>
      <c r="T27" s="1632" t="str">
        <f>VLOOKUP(Y27,'- DLiêu Gốc -'!$C$2:$H$60,5,0)</f>
        <v>A1</v>
      </c>
      <c r="U27" s="1632" t="str">
        <f>VLOOKUP(Y27,'- DLiêu Gốc -'!$C$2:$H$60,6,0)</f>
        <v>- - -</v>
      </c>
      <c r="V27" s="1632" t="s">
        <v>425</v>
      </c>
      <c r="W27" s="1633" t="str">
        <f t="shared" si="3"/>
        <v>Chuyên viên</v>
      </c>
      <c r="X27" s="640" t="str">
        <f t="shared" si="4"/>
        <v>01.003</v>
      </c>
      <c r="Y27" s="601" t="s">
        <v>339</v>
      </c>
      <c r="Z27" s="640" t="str">
        <f>VLOOKUP(Y27,'- DLiêu Gốc -'!$C$1:$H$133,2,0)</f>
        <v>01.003</v>
      </c>
      <c r="AA27" s="640" t="str">
        <f t="shared" si="5"/>
        <v>Lương</v>
      </c>
      <c r="AB27" s="1634">
        <v>5</v>
      </c>
      <c r="AC27" s="635" t="s">
        <v>359</v>
      </c>
      <c r="AD27" s="635">
        <v>9</v>
      </c>
      <c r="AE27" s="1635">
        <f t="shared" si="6"/>
        <v>3.66</v>
      </c>
      <c r="AF27" s="1636"/>
      <c r="AG27" s="601"/>
      <c r="AH27" s="1637"/>
      <c r="AI27" s="606" t="s">
        <v>359</v>
      </c>
      <c r="AJ27" s="1669" t="s">
        <v>341</v>
      </c>
      <c r="AK27" s="1639" t="s">
        <v>359</v>
      </c>
      <c r="AL27" s="1640">
        <v>2018</v>
      </c>
      <c r="AM27" s="1641"/>
      <c r="AN27" s="1642"/>
      <c r="AO27" s="1643">
        <f t="shared" si="44"/>
        <v>6</v>
      </c>
      <c r="AP27" s="1644" t="str">
        <f t="shared" si="45"/>
        <v>/</v>
      </c>
      <c r="AQ27" s="1645">
        <f t="shared" si="46"/>
        <v>9</v>
      </c>
      <c r="AR27" s="1646">
        <f t="shared" si="47"/>
        <v>3.99</v>
      </c>
      <c r="AS27" s="601"/>
      <c r="AT27" s="1647" t="s">
        <v>341</v>
      </c>
      <c r="AU27" s="1648" t="s">
        <v>359</v>
      </c>
      <c r="AV27" s="1638" t="s">
        <v>341</v>
      </c>
      <c r="AW27" s="1645" t="s">
        <v>359</v>
      </c>
      <c r="AX27" s="1649">
        <v>2021</v>
      </c>
      <c r="AY27" s="1650"/>
      <c r="AZ27" s="1641"/>
      <c r="BA27" s="1651">
        <v>1.18</v>
      </c>
      <c r="BB27" s="1652">
        <f t="shared" si="11"/>
        <v>3</v>
      </c>
      <c r="BC27" s="1653">
        <f t="shared" si="12"/>
        <v>-24253</v>
      </c>
      <c r="BD27" s="1653">
        <f>VLOOKUP(Y27,'- DLiêu Gốc -'!$C$1:$F$60,3,0)</f>
        <v>2.34</v>
      </c>
      <c r="BE27" s="1654">
        <f>VLOOKUP(Y27,'- DLiêu Gốc -'!$C$1:$F$60,4,0)</f>
        <v>0.33</v>
      </c>
      <c r="BF27" s="1655" t="str">
        <f t="shared" si="13"/>
        <v>o-o-o</v>
      </c>
      <c r="BG27" s="1656"/>
      <c r="BH27" s="1657"/>
      <c r="BI27" s="1658"/>
      <c r="BJ27" s="1659"/>
      <c r="BK27" s="1658"/>
      <c r="BL27" s="1642"/>
      <c r="BM27" s="1565"/>
      <c r="BN27" s="1566"/>
      <c r="BO27" s="1655"/>
      <c r="BP27" s="1656"/>
      <c r="BQ27" s="1657"/>
      <c r="BR27" s="1658"/>
      <c r="BS27" s="1659"/>
      <c r="BT27" s="1658"/>
      <c r="BU27" s="1642"/>
      <c r="BV27" s="608"/>
      <c r="BW27" s="1641"/>
      <c r="BX27" s="1654"/>
      <c r="BY27" s="1654" t="str">
        <f t="shared" si="14"/>
        <v>- - -</v>
      </c>
      <c r="BZ27" s="1642" t="str">
        <f t="shared" si="15"/>
        <v>- - -</v>
      </c>
      <c r="CA27" s="1660" t="str">
        <f t="shared" si="16"/>
        <v>Chánh Văn phòng Học viện, Trưởng Ban Tổ chức - Cán bộ, Trưởng Ban Quản lý bồi dưỡng</v>
      </c>
      <c r="CB27" s="1652" t="str">
        <f t="shared" si="17"/>
        <v>A</v>
      </c>
      <c r="CC27" s="1652" t="str">
        <f t="shared" si="18"/>
        <v>=&gt; s</v>
      </c>
      <c r="CD27" s="1626">
        <f t="shared" si="19"/>
        <v>24277</v>
      </c>
      <c r="CE27" s="1626" t="str">
        <f t="shared" si="20"/>
        <v>---</v>
      </c>
      <c r="CG27" s="1626"/>
      <c r="CI27" s="1626"/>
      <c r="CJ27" s="1641" t="str">
        <f t="shared" si="21"/>
        <v>- - -</v>
      </c>
      <c r="CK27" s="1641" t="str">
        <f t="shared" si="22"/>
        <v>- - -</v>
      </c>
      <c r="CL27" s="1626"/>
      <c r="CM27" s="1641"/>
      <c r="CN27" s="1641"/>
      <c r="CO27" s="1641"/>
      <c r="CP27" s="1641" t="str">
        <f t="shared" si="23"/>
        <v>- - -</v>
      </c>
      <c r="CQ27" s="1626"/>
      <c r="CR27" s="1641"/>
      <c r="CS27" s="1641"/>
      <c r="CT27" s="1662"/>
      <c r="CU27" s="1574" t="str">
        <f t="shared" si="24"/>
        <v>---</v>
      </c>
      <c r="CV27" s="1661" t="str">
        <f t="shared" si="25"/>
        <v>/-/ /-/</v>
      </c>
      <c r="CW27" s="1661">
        <f t="shared" si="26"/>
        <v>3</v>
      </c>
      <c r="CX27" s="1661">
        <f t="shared" si="27"/>
        <v>2036</v>
      </c>
      <c r="CY27" s="1661">
        <f t="shared" si="28"/>
        <v>12</v>
      </c>
      <c r="CZ27" s="1661">
        <f t="shared" si="29"/>
        <v>2035</v>
      </c>
      <c r="DA27" s="1661">
        <f t="shared" si="30"/>
        <v>9</v>
      </c>
      <c r="DB27" s="1663">
        <f t="shared" si="31"/>
        <v>2035</v>
      </c>
      <c r="DC27" s="1664" t="str">
        <f t="shared" si="32"/>
        <v>- - -</v>
      </c>
      <c r="DD27" s="1664" t="str">
        <f t="shared" si="33"/>
        <v>. .</v>
      </c>
      <c r="DE27" s="1652"/>
      <c r="DF27" s="1652">
        <f t="shared" si="34"/>
        <v>660</v>
      </c>
      <c r="DG27" s="1652">
        <f t="shared" si="35"/>
        <v>-23762</v>
      </c>
      <c r="DH27" s="1652">
        <f t="shared" si="36"/>
        <v>-1981</v>
      </c>
      <c r="DI27" s="1652" t="str">
        <f t="shared" si="37"/>
        <v>Nữ dưới 30</v>
      </c>
      <c r="DJ27" s="1652"/>
      <c r="DK27" s="1654"/>
      <c r="DL27" s="1641" t="str">
        <f t="shared" si="38"/>
        <v>Đến 30</v>
      </c>
      <c r="DM27" s="1626" t="str">
        <f t="shared" si="39"/>
        <v>TD</v>
      </c>
      <c r="DN27" s="1626">
        <v>2012</v>
      </c>
      <c r="DO27" s="1626"/>
      <c r="DP27" s="1626"/>
      <c r="DQ27" s="1641"/>
      <c r="DR27" s="1641"/>
      <c r="DS27" s="1665"/>
      <c r="DT27" s="1666"/>
      <c r="DU27" s="1642"/>
      <c r="DV27" s="1665"/>
      <c r="DW27" s="1637" t="s">
        <v>364</v>
      </c>
      <c r="DX27" s="1667" t="s">
        <v>106</v>
      </c>
      <c r="DY27" s="1667" t="s">
        <v>364</v>
      </c>
      <c r="DZ27" s="1667" t="s">
        <v>341</v>
      </c>
      <c r="EA27" s="1668" t="s">
        <v>359</v>
      </c>
      <c r="EB27" s="1667" t="s">
        <v>341</v>
      </c>
      <c r="EC27" s="1626" t="s">
        <v>359</v>
      </c>
      <c r="ED27" s="1637">
        <v>2012</v>
      </c>
      <c r="EE27" s="1667">
        <f t="shared" si="40"/>
        <v>0</v>
      </c>
      <c r="EF27" s="1667" t="str">
        <f t="shared" si="41"/>
        <v>- - -</v>
      </c>
      <c r="EG27" s="1667" t="s">
        <v>341</v>
      </c>
      <c r="EH27" s="1668" t="s">
        <v>359</v>
      </c>
      <c r="EI27" s="1626" t="s">
        <v>341</v>
      </c>
      <c r="EJ27" s="1641" t="s">
        <v>359</v>
      </c>
      <c r="EK27" s="1663">
        <v>2012</v>
      </c>
      <c r="EL27" s="1642"/>
      <c r="EM27" s="1661" t="str">
        <f t="shared" si="42"/>
        <v>- - -</v>
      </c>
      <c r="EN27" s="1661" t="str">
        <f t="shared" si="43"/>
        <v>---</v>
      </c>
    </row>
    <row r="28" spans="1:144" s="1661" customFormat="1" ht="33.75" customHeight="1" x14ac:dyDescent="0.2">
      <c r="A28" s="1626">
        <v>400</v>
      </c>
      <c r="B28" s="1627">
        <v>14</v>
      </c>
      <c r="C28" s="1626"/>
      <c r="D28" s="1626" t="str">
        <f t="shared" si="0"/>
        <v>Bà</v>
      </c>
      <c r="E28" s="1628" t="s">
        <v>303</v>
      </c>
      <c r="F28" s="1629" t="s">
        <v>380</v>
      </c>
      <c r="G28" s="1630" t="s">
        <v>283</v>
      </c>
      <c r="H28" s="1630" t="s">
        <v>359</v>
      </c>
      <c r="I28" s="1630" t="s">
        <v>343</v>
      </c>
      <c r="J28" s="599" t="s">
        <v>359</v>
      </c>
      <c r="K28" s="599">
        <v>1982</v>
      </c>
      <c r="L28" s="599" t="s">
        <v>434</v>
      </c>
      <c r="M28" s="599" t="str">
        <f t="shared" si="1"/>
        <v>NLĐ</v>
      </c>
      <c r="N28" s="599"/>
      <c r="O28" s="599" t="e">
        <f t="shared" si="2"/>
        <v>#N/A</v>
      </c>
      <c r="P28" s="599"/>
      <c r="Q28" s="1628" t="e">
        <f>VLOOKUP(P28,'- DLiêu Gốc -'!$C$2:$H$115,2,0)</f>
        <v>#N/A</v>
      </c>
      <c r="R28" s="1631" t="s">
        <v>605</v>
      </c>
      <c r="S28" s="601" t="s">
        <v>563</v>
      </c>
      <c r="T28" s="1632" t="str">
        <f>VLOOKUP(Y28,'- DLiêu Gốc -'!$C$2:$H$60,5,0)</f>
        <v>A1</v>
      </c>
      <c r="U28" s="1632" t="str">
        <f>VLOOKUP(Y28,'- DLiêu Gốc -'!$C$2:$H$60,6,0)</f>
        <v>- - -</v>
      </c>
      <c r="V28" s="1632" t="s">
        <v>425</v>
      </c>
      <c r="W28" s="1633" t="str">
        <f t="shared" si="3"/>
        <v>Chuyên viên</v>
      </c>
      <c r="X28" s="640" t="str">
        <f t="shared" si="4"/>
        <v>01.003</v>
      </c>
      <c r="Y28" s="601" t="s">
        <v>339</v>
      </c>
      <c r="Z28" s="640" t="str">
        <f>VLOOKUP(Y28,'- DLiêu Gốc -'!$C$1:$H$133,2,0)</f>
        <v>01.003</v>
      </c>
      <c r="AA28" s="640" t="str">
        <f t="shared" si="5"/>
        <v>Lương</v>
      </c>
      <c r="AB28" s="1634">
        <v>5</v>
      </c>
      <c r="AC28" s="635" t="s">
        <v>359</v>
      </c>
      <c r="AD28" s="635">
        <v>9</v>
      </c>
      <c r="AE28" s="1635">
        <f t="shared" si="6"/>
        <v>3.66</v>
      </c>
      <c r="AF28" s="1636"/>
      <c r="AG28" s="601"/>
      <c r="AH28" s="1637"/>
      <c r="AI28" s="606" t="s">
        <v>359</v>
      </c>
      <c r="AJ28" s="1669" t="s">
        <v>341</v>
      </c>
      <c r="AK28" s="1639" t="s">
        <v>359</v>
      </c>
      <c r="AL28" s="1640">
        <v>2018</v>
      </c>
      <c r="AM28" s="1641"/>
      <c r="AN28" s="1642"/>
      <c r="AO28" s="1643">
        <f t="shared" si="44"/>
        <v>6</v>
      </c>
      <c r="AP28" s="1644" t="str">
        <f t="shared" si="45"/>
        <v>/</v>
      </c>
      <c r="AQ28" s="1645">
        <f t="shared" si="46"/>
        <v>9</v>
      </c>
      <c r="AR28" s="1646">
        <f t="shared" si="47"/>
        <v>3.99</v>
      </c>
      <c r="AS28" s="601"/>
      <c r="AT28" s="1647" t="s">
        <v>341</v>
      </c>
      <c r="AU28" s="1648" t="s">
        <v>359</v>
      </c>
      <c r="AV28" s="1638" t="s">
        <v>341</v>
      </c>
      <c r="AW28" s="1645" t="s">
        <v>359</v>
      </c>
      <c r="AX28" s="1649">
        <v>2021</v>
      </c>
      <c r="AY28" s="1650"/>
      <c r="AZ28" s="1641"/>
      <c r="BA28" s="1651">
        <v>1.18</v>
      </c>
      <c r="BB28" s="1652">
        <f t="shared" si="11"/>
        <v>3</v>
      </c>
      <c r="BC28" s="1653">
        <f t="shared" si="12"/>
        <v>-24253</v>
      </c>
      <c r="BD28" s="1653">
        <f>VLOOKUP(Y28,'- DLiêu Gốc -'!$C$1:$F$60,3,0)</f>
        <v>2.34</v>
      </c>
      <c r="BE28" s="1654">
        <f>VLOOKUP(Y28,'- DLiêu Gốc -'!$C$1:$F$60,4,0)</f>
        <v>0.33</v>
      </c>
      <c r="BF28" s="1655" t="str">
        <f t="shared" si="13"/>
        <v>o-o-o</v>
      </c>
      <c r="BG28" s="1656"/>
      <c r="BH28" s="1657"/>
      <c r="BI28" s="1658"/>
      <c r="BJ28" s="1659"/>
      <c r="BK28" s="1658"/>
      <c r="BL28" s="1642"/>
      <c r="BM28" s="1565"/>
      <c r="BN28" s="1566"/>
      <c r="BO28" s="1655"/>
      <c r="BP28" s="1656"/>
      <c r="BQ28" s="1657"/>
      <c r="BR28" s="1658"/>
      <c r="BS28" s="1659"/>
      <c r="BT28" s="1658"/>
      <c r="BU28" s="1642"/>
      <c r="BV28" s="608"/>
      <c r="BW28" s="1641"/>
      <c r="BX28" s="1654"/>
      <c r="BY28" s="1654" t="str">
        <f t="shared" si="14"/>
        <v>- - -</v>
      </c>
      <c r="BZ28" s="1642" t="str">
        <f t="shared" si="15"/>
        <v>- - -</v>
      </c>
      <c r="CA28" s="1660" t="str">
        <f t="shared" si="16"/>
        <v>Chánh Văn phòng Học viện, Trưởng Ban Tổ chức - Cán bộ, Trưởng Ban Quản lý bồi dưỡng</v>
      </c>
      <c r="CB28" s="1652" t="str">
        <f t="shared" si="17"/>
        <v>A</v>
      </c>
      <c r="CC28" s="1652" t="str">
        <f t="shared" si="18"/>
        <v>=&gt; s</v>
      </c>
      <c r="CD28" s="1626">
        <f t="shared" si="19"/>
        <v>24277</v>
      </c>
      <c r="CE28" s="1626" t="str">
        <f t="shared" si="20"/>
        <v>---</v>
      </c>
      <c r="CG28" s="1626"/>
      <c r="CI28" s="1626"/>
      <c r="CJ28" s="1641" t="str">
        <f t="shared" si="21"/>
        <v>- - -</v>
      </c>
      <c r="CK28" s="1641" t="str">
        <f t="shared" si="22"/>
        <v>- - -</v>
      </c>
      <c r="CL28" s="1626"/>
      <c r="CM28" s="1641"/>
      <c r="CN28" s="1641"/>
      <c r="CO28" s="1641"/>
      <c r="CP28" s="1641" t="str">
        <f t="shared" si="23"/>
        <v>- - -</v>
      </c>
      <c r="CQ28" s="1626"/>
      <c r="CR28" s="1641"/>
      <c r="CS28" s="1641"/>
      <c r="CT28" s="1662"/>
      <c r="CU28" s="1574" t="str">
        <f t="shared" si="24"/>
        <v>---</v>
      </c>
      <c r="CV28" s="1661" t="str">
        <f t="shared" si="25"/>
        <v>/-/ /-/</v>
      </c>
      <c r="CW28" s="1661">
        <f t="shared" si="26"/>
        <v>6</v>
      </c>
      <c r="CX28" s="1661">
        <f t="shared" si="27"/>
        <v>2037</v>
      </c>
      <c r="CY28" s="1661">
        <f t="shared" si="28"/>
        <v>3</v>
      </c>
      <c r="CZ28" s="1661">
        <f t="shared" si="29"/>
        <v>2037</v>
      </c>
      <c r="DA28" s="1661">
        <f t="shared" si="30"/>
        <v>12</v>
      </c>
      <c r="DB28" s="1663">
        <f t="shared" si="31"/>
        <v>2036</v>
      </c>
      <c r="DC28" s="1664" t="str">
        <f t="shared" si="32"/>
        <v>- - -</v>
      </c>
      <c r="DD28" s="1664" t="str">
        <f t="shared" si="33"/>
        <v>. .</v>
      </c>
      <c r="DE28" s="1652"/>
      <c r="DF28" s="1652">
        <f t="shared" si="34"/>
        <v>660</v>
      </c>
      <c r="DG28" s="1652">
        <f t="shared" si="35"/>
        <v>-23777</v>
      </c>
      <c r="DH28" s="1652">
        <f t="shared" si="36"/>
        <v>-1982</v>
      </c>
      <c r="DI28" s="1652" t="str">
        <f t="shared" si="37"/>
        <v>Nữ dưới 30</v>
      </c>
      <c r="DJ28" s="1652"/>
      <c r="DK28" s="1654"/>
      <c r="DL28" s="1641" t="str">
        <f t="shared" si="38"/>
        <v>Đến 30</v>
      </c>
      <c r="DM28" s="1626" t="str">
        <f t="shared" si="39"/>
        <v>--</v>
      </c>
      <c r="DN28" s="1626"/>
      <c r="DO28" s="1626"/>
      <c r="DP28" s="1626"/>
      <c r="DQ28" s="1641"/>
      <c r="DR28" s="1641"/>
      <c r="DS28" s="1665"/>
      <c r="DT28" s="1666"/>
      <c r="DU28" s="1642"/>
      <c r="DV28" s="1665"/>
      <c r="DW28" s="1637" t="s">
        <v>364</v>
      </c>
      <c r="DX28" s="1667" t="s">
        <v>106</v>
      </c>
      <c r="DY28" s="1667" t="s">
        <v>364</v>
      </c>
      <c r="DZ28" s="1667" t="s">
        <v>341</v>
      </c>
      <c r="EA28" s="1668" t="s">
        <v>359</v>
      </c>
      <c r="EB28" s="1667" t="s">
        <v>341</v>
      </c>
      <c r="EC28" s="1626" t="s">
        <v>359</v>
      </c>
      <c r="ED28" s="1637">
        <v>2012</v>
      </c>
      <c r="EE28" s="1667">
        <f t="shared" si="40"/>
        <v>0</v>
      </c>
      <c r="EF28" s="1667" t="str">
        <f t="shared" si="41"/>
        <v>- - -</v>
      </c>
      <c r="EG28" s="1667" t="s">
        <v>341</v>
      </c>
      <c r="EH28" s="1668" t="s">
        <v>359</v>
      </c>
      <c r="EI28" s="1626" t="s">
        <v>341</v>
      </c>
      <c r="EJ28" s="1641" t="s">
        <v>359</v>
      </c>
      <c r="EK28" s="1663">
        <v>2012</v>
      </c>
      <c r="EL28" s="1642"/>
      <c r="EM28" s="1661" t="str">
        <f t="shared" si="42"/>
        <v>- - -</v>
      </c>
      <c r="EN28" s="1661" t="str">
        <f t="shared" si="43"/>
        <v>---</v>
      </c>
    </row>
    <row r="29" spans="1:144" s="1661" customFormat="1" ht="33.75" customHeight="1" x14ac:dyDescent="0.2">
      <c r="A29" s="1626">
        <v>429</v>
      </c>
      <c r="B29" s="1627">
        <v>15</v>
      </c>
      <c r="C29" s="1626"/>
      <c r="D29" s="1626" t="str">
        <f t="shared" si="0"/>
        <v>Ông</v>
      </c>
      <c r="E29" s="1628" t="s">
        <v>284</v>
      </c>
      <c r="F29" s="1629" t="s">
        <v>378</v>
      </c>
      <c r="G29" s="1630" t="s">
        <v>266</v>
      </c>
      <c r="H29" s="1630" t="s">
        <v>359</v>
      </c>
      <c r="I29" s="1630" t="s">
        <v>345</v>
      </c>
      <c r="J29" s="599" t="s">
        <v>359</v>
      </c>
      <c r="K29" s="599">
        <v>1970</v>
      </c>
      <c r="L29" s="599" t="s">
        <v>451</v>
      </c>
      <c r="M29" s="599" t="str">
        <f t="shared" si="1"/>
        <v>VC</v>
      </c>
      <c r="N29" s="599"/>
      <c r="O29" s="599" t="str">
        <f t="shared" si="2"/>
        <v>CVụ</v>
      </c>
      <c r="P29" s="599" t="s">
        <v>243</v>
      </c>
      <c r="Q29" s="1628" t="str">
        <f>VLOOKUP(P29,'[1]- DLiêu Gốc (Không sửa)'!$C$2:$H$116,2,0)</f>
        <v>0,6</v>
      </c>
      <c r="R29" s="1631" t="s">
        <v>639</v>
      </c>
      <c r="S29" s="601" t="s">
        <v>567</v>
      </c>
      <c r="T29" s="1632" t="str">
        <f>VLOOKUP(Y29,'- DLiêu Gốc -'!$C$2:$H$60,5,0)</f>
        <v>A2</v>
      </c>
      <c r="U29" s="1632" t="str">
        <f>VLOOKUP(Y29,'- DLiêu Gốc -'!$C$2:$H$60,6,0)</f>
        <v>A2.1</v>
      </c>
      <c r="V29" s="1632" t="s">
        <v>425</v>
      </c>
      <c r="W29" s="1633" t="str">
        <f t="shared" si="3"/>
        <v>Chuyên viên chính</v>
      </c>
      <c r="X29" s="640" t="str">
        <f t="shared" si="4"/>
        <v>01.002</v>
      </c>
      <c r="Y29" s="601" t="s">
        <v>351</v>
      </c>
      <c r="Z29" s="640" t="str">
        <f>VLOOKUP(Y29,'- DLiêu Gốc -'!$C$1:$H$133,2,0)</f>
        <v>01.002</v>
      </c>
      <c r="AA29" s="640" t="str">
        <f t="shared" si="5"/>
        <v>Lương</v>
      </c>
      <c r="AB29" s="1634">
        <v>4</v>
      </c>
      <c r="AC29" s="635" t="s">
        <v>359</v>
      </c>
      <c r="AD29" s="635">
        <v>8</v>
      </c>
      <c r="AE29" s="1635">
        <f t="shared" si="6"/>
        <v>5.42</v>
      </c>
      <c r="AF29" s="1636"/>
      <c r="AG29" s="601"/>
      <c r="AH29" s="1637"/>
      <c r="AI29" s="606" t="s">
        <v>359</v>
      </c>
      <c r="AJ29" s="1669" t="s">
        <v>341</v>
      </c>
      <c r="AK29" s="1639" t="s">
        <v>359</v>
      </c>
      <c r="AL29" s="1640">
        <v>2018</v>
      </c>
      <c r="AM29" s="1641"/>
      <c r="AN29" s="1642"/>
      <c r="AO29" s="1643">
        <f t="shared" si="44"/>
        <v>5</v>
      </c>
      <c r="AP29" s="1644" t="str">
        <f t="shared" si="45"/>
        <v>/</v>
      </c>
      <c r="AQ29" s="1645">
        <f t="shared" si="46"/>
        <v>8</v>
      </c>
      <c r="AR29" s="1646">
        <f t="shared" si="47"/>
        <v>5.76</v>
      </c>
      <c r="AS29" s="601"/>
      <c r="AT29" s="1647" t="s">
        <v>341</v>
      </c>
      <c r="AU29" s="1648" t="s">
        <v>359</v>
      </c>
      <c r="AV29" s="1638" t="s">
        <v>341</v>
      </c>
      <c r="AW29" s="1645" t="s">
        <v>359</v>
      </c>
      <c r="AX29" s="1649">
        <v>2021</v>
      </c>
      <c r="AY29" s="1650"/>
      <c r="AZ29" s="1641"/>
      <c r="BA29" s="1651">
        <v>1.18</v>
      </c>
      <c r="BB29" s="1652">
        <f t="shared" si="11"/>
        <v>3</v>
      </c>
      <c r="BC29" s="1653">
        <f t="shared" si="12"/>
        <v>-24253</v>
      </c>
      <c r="BD29" s="1653">
        <f>VLOOKUP(Y29,'- DLiêu Gốc -'!$C$1:$F$60,3,0)</f>
        <v>4.4000000000000004</v>
      </c>
      <c r="BE29" s="1654">
        <f>VLOOKUP(Y29,'- DLiêu Gốc -'!$C$1:$F$60,4,0)</f>
        <v>0.34</v>
      </c>
      <c r="BF29" s="1655" t="str">
        <f t="shared" si="13"/>
        <v>o-o-o</v>
      </c>
      <c r="BG29" s="1656"/>
      <c r="BH29" s="1657"/>
      <c r="BI29" s="1658"/>
      <c r="BJ29" s="1659"/>
      <c r="BK29" s="1658"/>
      <c r="BL29" s="1642"/>
      <c r="BM29" s="1565"/>
      <c r="BN29" s="1566"/>
      <c r="BO29" s="1655"/>
      <c r="BP29" s="1656"/>
      <c r="BQ29" s="1657"/>
      <c r="BR29" s="1658"/>
      <c r="BS29" s="1659"/>
      <c r="BT29" s="1658"/>
      <c r="BU29" s="1642"/>
      <c r="BV29" s="608"/>
      <c r="BW29" s="1641"/>
      <c r="BX29" s="1654"/>
      <c r="BY29" s="1654" t="str">
        <f t="shared" si="14"/>
        <v>- - -</v>
      </c>
      <c r="BZ29" s="1642" t="str">
        <f t="shared" si="15"/>
        <v>- - -</v>
      </c>
      <c r="CA29" s="1660" t="str">
        <f t="shared" si="16"/>
        <v>Chánh Văn phòng Học viện, Trưởng Ban Tổ chức - Cán bộ, Trưởng Trung tâm Ngoại ngữ - Tin học và Thông tin - Thư viện</v>
      </c>
      <c r="CB29" s="1652" t="str">
        <f t="shared" si="17"/>
        <v>A</v>
      </c>
      <c r="CC29" s="1652" t="str">
        <f t="shared" si="18"/>
        <v>=&gt; s</v>
      </c>
      <c r="CD29" s="1626">
        <f t="shared" si="19"/>
        <v>24277</v>
      </c>
      <c r="CE29" s="1626" t="str">
        <f t="shared" si="20"/>
        <v>---</v>
      </c>
      <c r="CG29" s="1626"/>
      <c r="CI29" s="1626"/>
      <c r="CJ29" s="1641" t="str">
        <f t="shared" si="21"/>
        <v>- - -</v>
      </c>
      <c r="CK29" s="1641" t="str">
        <f t="shared" si="22"/>
        <v>NN</v>
      </c>
      <c r="CL29" s="1626">
        <v>11</v>
      </c>
      <c r="CM29" s="1641">
        <v>2012</v>
      </c>
      <c r="CN29" s="1641"/>
      <c r="CO29" s="1641"/>
      <c r="CP29" s="1641" t="str">
        <f t="shared" si="23"/>
        <v>- - -</v>
      </c>
      <c r="CQ29" s="1626"/>
      <c r="CR29" s="1641"/>
      <c r="CS29" s="1641"/>
      <c r="CT29" s="1662"/>
      <c r="CU29" s="1574" t="str">
        <f t="shared" si="24"/>
        <v>---</v>
      </c>
      <c r="CV29" s="1661" t="str">
        <f t="shared" si="25"/>
        <v>/-/ /-/</v>
      </c>
      <c r="CW29" s="1661">
        <f t="shared" si="26"/>
        <v>9</v>
      </c>
      <c r="CX29" s="1661">
        <f t="shared" si="27"/>
        <v>2030</v>
      </c>
      <c r="CY29" s="1661">
        <f t="shared" si="28"/>
        <v>6</v>
      </c>
      <c r="CZ29" s="1661">
        <f t="shared" si="29"/>
        <v>2030</v>
      </c>
      <c r="DA29" s="1661">
        <f t="shared" si="30"/>
        <v>3</v>
      </c>
      <c r="DB29" s="1663">
        <f t="shared" si="31"/>
        <v>2030</v>
      </c>
      <c r="DC29" s="1664" t="str">
        <f t="shared" si="32"/>
        <v>- - -</v>
      </c>
      <c r="DD29" s="1664" t="str">
        <f t="shared" si="33"/>
        <v>. .</v>
      </c>
      <c r="DE29" s="1652"/>
      <c r="DF29" s="1652">
        <f t="shared" si="34"/>
        <v>720</v>
      </c>
      <c r="DG29" s="1652">
        <f t="shared" si="35"/>
        <v>-23636</v>
      </c>
      <c r="DH29" s="1652">
        <f t="shared" si="36"/>
        <v>-1970</v>
      </c>
      <c r="DI29" s="1652" t="str">
        <f t="shared" si="37"/>
        <v>Nam dưới 35</v>
      </c>
      <c r="DJ29" s="1652"/>
      <c r="DK29" s="1654"/>
      <c r="DL29" s="1641" t="str">
        <f t="shared" si="38"/>
        <v>Đến 30</v>
      </c>
      <c r="DM29" s="1626"/>
      <c r="DN29" s="1626" t="str">
        <f>IF(CK29&gt;0,"TD","--")</f>
        <v>TD</v>
      </c>
      <c r="DO29" s="1626"/>
      <c r="DP29" s="1626"/>
      <c r="DQ29" s="1641"/>
      <c r="DR29" s="1641"/>
      <c r="DS29" s="1665"/>
      <c r="DT29" s="1666"/>
      <c r="DU29" s="1642"/>
      <c r="DV29" s="1665"/>
      <c r="DW29" s="1637" t="s">
        <v>278</v>
      </c>
      <c r="DX29" s="1667" t="s">
        <v>114</v>
      </c>
      <c r="DY29" s="1667" t="s">
        <v>278</v>
      </c>
      <c r="DZ29" s="1667" t="s">
        <v>341</v>
      </c>
      <c r="EA29" s="1668" t="s">
        <v>359</v>
      </c>
      <c r="EB29" s="1667" t="s">
        <v>341</v>
      </c>
      <c r="EC29" s="1626" t="s">
        <v>359</v>
      </c>
      <c r="ED29" s="1637" t="s">
        <v>377</v>
      </c>
      <c r="EE29" s="1667">
        <f t="shared" si="40"/>
        <v>0</v>
      </c>
      <c r="EF29" s="1667" t="str">
        <f t="shared" si="41"/>
        <v>- - -</v>
      </c>
      <c r="EG29" s="1667" t="s">
        <v>341</v>
      </c>
      <c r="EH29" s="1668" t="s">
        <v>359</v>
      </c>
      <c r="EI29" s="1626" t="s">
        <v>341</v>
      </c>
      <c r="EJ29" s="1641" t="s">
        <v>359</v>
      </c>
      <c r="EK29" s="1663" t="s">
        <v>377</v>
      </c>
      <c r="EL29" s="1642">
        <v>4.6500000000000004</v>
      </c>
      <c r="EM29" s="1661" t="str">
        <f t="shared" si="42"/>
        <v>- - -</v>
      </c>
      <c r="EN29" s="1661" t="str">
        <f t="shared" si="43"/>
        <v>---</v>
      </c>
    </row>
    <row r="30" spans="1:144" s="1661" customFormat="1" ht="33.75" customHeight="1" x14ac:dyDescent="0.2">
      <c r="A30" s="1626">
        <v>473</v>
      </c>
      <c r="B30" s="1627">
        <v>16</v>
      </c>
      <c r="C30" s="1626"/>
      <c r="D30" s="1626" t="str">
        <f t="shared" si="0"/>
        <v>Ông</v>
      </c>
      <c r="E30" s="1628" t="s">
        <v>258</v>
      </c>
      <c r="F30" s="1629" t="s">
        <v>378</v>
      </c>
      <c r="G30" s="1630" t="s">
        <v>382</v>
      </c>
      <c r="H30" s="1630" t="s">
        <v>359</v>
      </c>
      <c r="I30" s="1630" t="s">
        <v>343</v>
      </c>
      <c r="J30" s="599" t="s">
        <v>359</v>
      </c>
      <c r="K30" s="599" t="s">
        <v>18</v>
      </c>
      <c r="L30" s="599" t="s">
        <v>451</v>
      </c>
      <c r="M30" s="599" t="str">
        <f t="shared" si="1"/>
        <v>VC</v>
      </c>
      <c r="N30" s="599"/>
      <c r="O30" s="599" t="str">
        <f t="shared" si="2"/>
        <v>CVụ</v>
      </c>
      <c r="P30" s="599" t="s">
        <v>583</v>
      </c>
      <c r="Q30" s="1628" t="str">
        <f>VLOOKUP(P30,'[1]- DLiêu Gốc (Không sửa)'!$C$2:$H$116,2,0)</f>
        <v>0,8</v>
      </c>
      <c r="R30" s="1631"/>
      <c r="S30" s="601" t="s">
        <v>570</v>
      </c>
      <c r="T30" s="1632" t="str">
        <f>VLOOKUP(Y30,'- DLiêu Gốc -'!$C$2:$H$60,5,0)</f>
        <v>A1</v>
      </c>
      <c r="U30" s="1632" t="str">
        <f>VLOOKUP(Y30,'- DLiêu Gốc -'!$C$2:$H$60,6,0)</f>
        <v>- - -</v>
      </c>
      <c r="V30" s="1632" t="s">
        <v>424</v>
      </c>
      <c r="W30" s="1633" t="str">
        <f t="shared" si="3"/>
        <v>Giảng viên (hạng III)</v>
      </c>
      <c r="X30" s="640" t="str">
        <f t="shared" si="4"/>
        <v>V.07.01.03</v>
      </c>
      <c r="Y30" s="601" t="s">
        <v>430</v>
      </c>
      <c r="Z30" s="640" t="str">
        <f>VLOOKUP(Y30,'- DLiêu Gốc -'!$C$1:$H$133,2,0)</f>
        <v>V.07.01.03</v>
      </c>
      <c r="AA30" s="640" t="str">
        <f t="shared" si="5"/>
        <v>Lương</v>
      </c>
      <c r="AB30" s="1634">
        <v>7</v>
      </c>
      <c r="AC30" s="635" t="s">
        <v>359</v>
      </c>
      <c r="AD30" s="635">
        <v>9</v>
      </c>
      <c r="AE30" s="1635">
        <f t="shared" si="6"/>
        <v>4.32</v>
      </c>
      <c r="AF30" s="1636"/>
      <c r="AG30" s="601"/>
      <c r="AH30" s="1637"/>
      <c r="AI30" s="606" t="s">
        <v>359</v>
      </c>
      <c r="AJ30" s="1669" t="s">
        <v>341</v>
      </c>
      <c r="AK30" s="1639" t="s">
        <v>359</v>
      </c>
      <c r="AL30" s="1640">
        <v>2018</v>
      </c>
      <c r="AM30" s="1641"/>
      <c r="AN30" s="1642"/>
      <c r="AO30" s="1643">
        <f t="shared" si="44"/>
        <v>8</v>
      </c>
      <c r="AP30" s="1644" t="str">
        <f t="shared" si="45"/>
        <v>/</v>
      </c>
      <c r="AQ30" s="1645">
        <f t="shared" si="46"/>
        <v>9</v>
      </c>
      <c r="AR30" s="1646">
        <f t="shared" si="47"/>
        <v>4.6500000000000004</v>
      </c>
      <c r="AS30" s="601"/>
      <c r="AT30" s="1647" t="s">
        <v>341</v>
      </c>
      <c r="AU30" s="1648" t="s">
        <v>359</v>
      </c>
      <c r="AV30" s="1638" t="s">
        <v>341</v>
      </c>
      <c r="AW30" s="1645" t="s">
        <v>359</v>
      </c>
      <c r="AX30" s="1649">
        <v>2021</v>
      </c>
      <c r="AY30" s="1650"/>
      <c r="AZ30" s="1641"/>
      <c r="BA30" s="1651"/>
      <c r="BB30" s="1652">
        <f t="shared" si="11"/>
        <v>3</v>
      </c>
      <c r="BC30" s="1653">
        <f t="shared" si="12"/>
        <v>-24253</v>
      </c>
      <c r="BD30" s="1653">
        <f>VLOOKUP(Y30,'- DLiêu Gốc -'!$C$1:$F$60,3,0)</f>
        <v>2.34</v>
      </c>
      <c r="BE30" s="1654">
        <f>VLOOKUP(Y30,'- DLiêu Gốc -'!$C$1:$F$60,4,0)</f>
        <v>0.33</v>
      </c>
      <c r="BF30" s="1655" t="str">
        <f t="shared" si="13"/>
        <v>PCTN</v>
      </c>
      <c r="BG30" s="1656">
        <v>21</v>
      </c>
      <c r="BH30" s="1657" t="s">
        <v>332</v>
      </c>
      <c r="BI30" s="1658" t="s">
        <v>341</v>
      </c>
      <c r="BJ30" s="1659" t="s">
        <v>359</v>
      </c>
      <c r="BK30" s="1658">
        <v>10</v>
      </c>
      <c r="BL30" s="1642" t="s">
        <v>359</v>
      </c>
      <c r="BM30" s="1565">
        <v>2019</v>
      </c>
      <c r="BN30" s="1566"/>
      <c r="BO30" s="1655"/>
      <c r="BP30" s="1656">
        <f>IF(BG30&gt;3,BG30+1,0)</f>
        <v>22</v>
      </c>
      <c r="BQ30" s="1657" t="s">
        <v>332</v>
      </c>
      <c r="BR30" s="1658" t="s">
        <v>341</v>
      </c>
      <c r="BS30" s="1659" t="s">
        <v>359</v>
      </c>
      <c r="BT30" s="1658">
        <v>10</v>
      </c>
      <c r="BU30" s="1642" t="s">
        <v>359</v>
      </c>
      <c r="BV30" s="608">
        <v>2020</v>
      </c>
      <c r="BW30" s="1641"/>
      <c r="BX30" s="1654"/>
      <c r="BY30" s="1654">
        <f t="shared" si="14"/>
        <v>-24250</v>
      </c>
      <c r="BZ30" s="1642" t="str">
        <f t="shared" si="15"/>
        <v>- - -</v>
      </c>
      <c r="CA30" s="1660" t="str">
        <f t="shared" si="16"/>
        <v>Chánh Văn phòng Học viện, Trưởng Ban Tổ chức - Cán bộ, Trưởng Ban Tổ chức cán bộ</v>
      </c>
      <c r="CB30" s="1652" t="str">
        <f t="shared" si="17"/>
        <v>A</v>
      </c>
      <c r="CC30" s="1652" t="str">
        <f t="shared" si="18"/>
        <v>=&gt; s</v>
      </c>
      <c r="CD30" s="1626">
        <f t="shared" si="19"/>
        <v>24277</v>
      </c>
      <c r="CE30" s="1626" t="str">
        <f t="shared" si="20"/>
        <v>S</v>
      </c>
      <c r="CF30" s="1661">
        <v>2017</v>
      </c>
      <c r="CG30" s="1626" t="s">
        <v>426</v>
      </c>
      <c r="CI30" s="1626"/>
      <c r="CJ30" s="1641" t="str">
        <f t="shared" si="21"/>
        <v>Cùg Ng</v>
      </c>
      <c r="CK30" s="1641" t="str">
        <f t="shared" si="22"/>
        <v>- - -</v>
      </c>
      <c r="CL30" s="1626"/>
      <c r="CM30" s="1641"/>
      <c r="CN30" s="1641"/>
      <c r="CO30" s="1641"/>
      <c r="CP30" s="1641" t="str">
        <f t="shared" si="23"/>
        <v>- - -</v>
      </c>
      <c r="CQ30" s="1626"/>
      <c r="CR30" s="1641"/>
      <c r="CS30" s="1641"/>
      <c r="CT30" s="1662"/>
      <c r="CU30" s="1574" t="str">
        <f t="shared" si="24"/>
        <v>---</v>
      </c>
      <c r="CV30" s="1661" t="str">
        <f t="shared" si="25"/>
        <v>/-/ /-/</v>
      </c>
      <c r="CW30" s="1661">
        <f t="shared" si="26"/>
        <v>6</v>
      </c>
      <c r="CX30" s="1661">
        <f t="shared" si="27"/>
        <v>2035</v>
      </c>
      <c r="CY30" s="1661">
        <f t="shared" si="28"/>
        <v>3</v>
      </c>
      <c r="CZ30" s="1661">
        <f t="shared" si="29"/>
        <v>2035</v>
      </c>
      <c r="DA30" s="1661">
        <f t="shared" si="30"/>
        <v>12</v>
      </c>
      <c r="DB30" s="1663">
        <f t="shared" si="31"/>
        <v>2034</v>
      </c>
      <c r="DC30" s="1664" t="str">
        <f t="shared" si="32"/>
        <v>- - -</v>
      </c>
      <c r="DD30" s="1664" t="str">
        <f t="shared" si="33"/>
        <v>. .</v>
      </c>
      <c r="DE30" s="1652"/>
      <c r="DF30" s="1652">
        <f t="shared" si="34"/>
        <v>720</v>
      </c>
      <c r="DG30" s="1652">
        <f t="shared" si="35"/>
        <v>-23693</v>
      </c>
      <c r="DH30" s="1652">
        <f t="shared" si="36"/>
        <v>-1975</v>
      </c>
      <c r="DI30" s="1652" t="str">
        <f t="shared" si="37"/>
        <v>Nam dưới 35</v>
      </c>
      <c r="DJ30" s="1652"/>
      <c r="DK30" s="1654"/>
      <c r="DL30" s="1641" t="str">
        <f t="shared" si="38"/>
        <v>Đến 30</v>
      </c>
      <c r="DM30" s="1626" t="str">
        <f t="shared" ref="DM30:DM40" si="48">IF(DN30&gt;0,"TD","--")</f>
        <v>--</v>
      </c>
      <c r="DN30" s="1626"/>
      <c r="DO30" s="1626"/>
      <c r="DP30" s="1626"/>
      <c r="DQ30" s="1641"/>
      <c r="DR30" s="1641"/>
      <c r="DS30" s="1665"/>
      <c r="DT30" s="1666"/>
      <c r="DU30" s="1642" t="s">
        <v>409</v>
      </c>
      <c r="DV30" s="1665" t="s">
        <v>259</v>
      </c>
      <c r="DW30" s="1637"/>
      <c r="DX30" s="1667" t="s">
        <v>419</v>
      </c>
      <c r="DY30" s="1667" t="s">
        <v>337</v>
      </c>
      <c r="DZ30" s="1667" t="s">
        <v>341</v>
      </c>
      <c r="EA30" s="1668" t="s">
        <v>359</v>
      </c>
      <c r="EB30" s="1667" t="s">
        <v>370</v>
      </c>
      <c r="EC30" s="1626" t="s">
        <v>359</v>
      </c>
      <c r="ED30" s="1637">
        <v>2012</v>
      </c>
      <c r="EE30" s="1667">
        <f t="shared" si="40"/>
        <v>0</v>
      </c>
      <c r="EF30" s="1667" t="str">
        <f t="shared" si="41"/>
        <v>- - -</v>
      </c>
      <c r="EG30" s="1667" t="s">
        <v>341</v>
      </c>
      <c r="EH30" s="1668" t="s">
        <v>359</v>
      </c>
      <c r="EI30" s="1626" t="s">
        <v>370</v>
      </c>
      <c r="EJ30" s="1641" t="s">
        <v>359</v>
      </c>
      <c r="EK30" s="1663">
        <v>2012</v>
      </c>
      <c r="EL30" s="1642"/>
      <c r="EM30" s="1661" t="str">
        <f t="shared" si="42"/>
        <v>- - -</v>
      </c>
      <c r="EN30" s="1661" t="str">
        <f t="shared" si="43"/>
        <v>---</v>
      </c>
    </row>
    <row r="31" spans="1:144" s="1661" customFormat="1" ht="33.75" customHeight="1" x14ac:dyDescent="0.2">
      <c r="A31" s="1626">
        <v>514</v>
      </c>
      <c r="B31" s="1627">
        <v>17</v>
      </c>
      <c r="C31" s="1626"/>
      <c r="D31" s="1626" t="str">
        <f t="shared" si="0"/>
        <v>Ông</v>
      </c>
      <c r="E31" s="1628" t="s">
        <v>57</v>
      </c>
      <c r="F31" s="1629" t="s">
        <v>378</v>
      </c>
      <c r="G31" s="1630" t="s">
        <v>274</v>
      </c>
      <c r="H31" s="1630" t="s">
        <v>359</v>
      </c>
      <c r="I31" s="1630" t="s">
        <v>376</v>
      </c>
      <c r="J31" s="599" t="s">
        <v>359</v>
      </c>
      <c r="K31" s="599">
        <v>1985</v>
      </c>
      <c r="L31" s="599" t="s">
        <v>434</v>
      </c>
      <c r="M31" s="599" t="str">
        <f t="shared" si="1"/>
        <v>NLĐ</v>
      </c>
      <c r="N31" s="599"/>
      <c r="O31" s="599" t="e">
        <f t="shared" si="2"/>
        <v>#N/A</v>
      </c>
      <c r="P31" s="599"/>
      <c r="Q31" s="1628" t="e">
        <f>VLOOKUP(P31,'[1]- DLiêu Gốc (Không sửa)'!$C$2:$H$116,2,0)</f>
        <v>#N/A</v>
      </c>
      <c r="R31" s="1631" t="s">
        <v>368</v>
      </c>
      <c r="S31" s="601" t="s">
        <v>419</v>
      </c>
      <c r="T31" s="1632" t="str">
        <f>VLOOKUP(Y31,'- DLiêu Gốc -'!$C$2:$H$60,5,0)</f>
        <v>C</v>
      </c>
      <c r="U31" s="1632" t="str">
        <f>VLOOKUP(Y31,'- DLiêu Gốc -'!$C$2:$H$60,6,0)</f>
        <v>Nhân viên</v>
      </c>
      <c r="V31" s="1632" t="s">
        <v>425</v>
      </c>
      <c r="W31" s="1633" t="str">
        <f t="shared" si="3"/>
        <v>Nhân viên</v>
      </c>
      <c r="X31" s="640" t="str">
        <f t="shared" si="4"/>
        <v>01.005</v>
      </c>
      <c r="Y31" s="601" t="s">
        <v>357</v>
      </c>
      <c r="Z31" s="640" t="str">
        <f>VLOOKUP(Y31,'- DLiêu Gốc -'!$C$1:$H$133,2,0)</f>
        <v>01.007</v>
      </c>
      <c r="AA31" s="640" t="str">
        <f t="shared" si="5"/>
        <v>Lương</v>
      </c>
      <c r="AB31" s="1634">
        <v>6</v>
      </c>
      <c r="AC31" s="635" t="s">
        <v>359</v>
      </c>
      <c r="AD31" s="635">
        <v>12</v>
      </c>
      <c r="AE31" s="1635">
        <f t="shared" si="6"/>
        <v>2.5499999999999998</v>
      </c>
      <c r="AF31" s="1636"/>
      <c r="AG31" s="601"/>
      <c r="AH31" s="1637"/>
      <c r="AI31" s="606" t="s">
        <v>359</v>
      </c>
      <c r="AJ31" s="1669" t="s">
        <v>341</v>
      </c>
      <c r="AK31" s="1639" t="s">
        <v>359</v>
      </c>
      <c r="AL31" s="1640">
        <v>2018</v>
      </c>
      <c r="AM31" s="1641"/>
      <c r="AN31" s="1642"/>
      <c r="AO31" s="1643">
        <f>AB31+1</f>
        <v>7</v>
      </c>
      <c r="AP31" s="1644" t="str">
        <f>IF(AD31=AB31,"%",IF(AD31&gt;AB31,"/"))</f>
        <v>/</v>
      </c>
      <c r="AQ31" s="1645">
        <f>IF(AND(AD31=AB31,AO31=4),5,IF(AND(AD31=AB31,AO31&gt;4),AO31+1,IF(AD31&gt;AB31,AD31)))</f>
        <v>12</v>
      </c>
      <c r="AR31" s="1646">
        <f>IF(AD31=AB31,"%",IF(AD31&gt;AB31,AE31+BE31))</f>
        <v>2.73</v>
      </c>
      <c r="AS31" s="601"/>
      <c r="AT31" s="1647" t="s">
        <v>341</v>
      </c>
      <c r="AU31" s="1648" t="s">
        <v>359</v>
      </c>
      <c r="AV31" s="1638" t="s">
        <v>341</v>
      </c>
      <c r="AW31" s="1645" t="s">
        <v>359</v>
      </c>
      <c r="AX31" s="1649">
        <v>2021</v>
      </c>
      <c r="AY31" s="1650"/>
      <c r="AZ31" s="1641"/>
      <c r="BA31" s="1651"/>
      <c r="BB31" s="1652">
        <f t="shared" si="11"/>
        <v>2</v>
      </c>
      <c r="BC31" s="1653">
        <f t="shared" si="12"/>
        <v>-24253</v>
      </c>
      <c r="BD31" s="1653">
        <f>VLOOKUP(Y31,'- DLiêu Gốc -'!$C$1:$F$60,3,0)</f>
        <v>1.65</v>
      </c>
      <c r="BE31" s="1654">
        <f>VLOOKUP(Y31,'- DLiêu Gốc -'!$C$1:$F$60,4,0)</f>
        <v>0.18</v>
      </c>
      <c r="BF31" s="1655" t="str">
        <f t="shared" si="13"/>
        <v>o-o-o</v>
      </c>
      <c r="BG31" s="1656"/>
      <c r="BH31" s="1657"/>
      <c r="BI31" s="1658"/>
      <c r="BJ31" s="1659"/>
      <c r="BK31" s="1658"/>
      <c r="BL31" s="1642"/>
      <c r="BM31" s="1565"/>
      <c r="BN31" s="1566"/>
      <c r="BO31" s="1655"/>
      <c r="BP31" s="1656"/>
      <c r="BQ31" s="1657"/>
      <c r="BR31" s="1658"/>
      <c r="BS31" s="1659"/>
      <c r="BT31" s="1658"/>
      <c r="BU31" s="1642"/>
      <c r="BV31" s="608"/>
      <c r="BW31" s="1641"/>
      <c r="BX31" s="1654"/>
      <c r="BY31" s="1654" t="str">
        <f t="shared" si="14"/>
        <v>- - -</v>
      </c>
      <c r="BZ31" s="1642" t="str">
        <f t="shared" si="15"/>
        <v>- - -</v>
      </c>
      <c r="CA31" s="1660" t="str">
        <f t="shared" si="16"/>
        <v>Chánh Văn phòng Học viện, Trưởng Ban Tổ chức - Cán bộ</v>
      </c>
      <c r="CB31" s="1652" t="str">
        <f t="shared" si="17"/>
        <v>A</v>
      </c>
      <c r="CC31" s="1652" t="str">
        <f>IF(AND(AO31&gt;0,AB31&lt;(AD31-1),CD31&gt;0,CD31&lt;13,OR(AND(CJ31="Cùg Ng",($CC$2-CF31)&gt;BB31),CJ31="- - -")),"Sớm TT","=&gt; s")</f>
        <v>=&gt; s</v>
      </c>
      <c r="CD31" s="1626">
        <f t="shared" si="19"/>
        <v>24265</v>
      </c>
      <c r="CE31" s="1626" t="str">
        <f t="shared" si="20"/>
        <v>---</v>
      </c>
      <c r="CG31" s="1626"/>
      <c r="CI31" s="1626"/>
      <c r="CJ31" s="1641" t="str">
        <f t="shared" si="21"/>
        <v>- - -</v>
      </c>
      <c r="CK31" s="1641" t="str">
        <f t="shared" si="22"/>
        <v>- - -</v>
      </c>
      <c r="CL31" s="1626"/>
      <c r="CM31" s="1641"/>
      <c r="CN31" s="1641"/>
      <c r="CO31" s="1641"/>
      <c r="CP31" s="1641" t="str">
        <f t="shared" si="23"/>
        <v>- - -</v>
      </c>
      <c r="CQ31" s="1626"/>
      <c r="CR31" s="1641"/>
      <c r="CS31" s="1641"/>
      <c r="CT31" s="1662"/>
      <c r="CU31" s="1574" t="str">
        <f t="shared" si="24"/>
        <v>---</v>
      </c>
      <c r="CV31" s="1661" t="str">
        <f t="shared" si="25"/>
        <v>/-/ /-/</v>
      </c>
      <c r="CW31" s="1661">
        <f t="shared" si="26"/>
        <v>5</v>
      </c>
      <c r="CX31" s="1661">
        <f t="shared" si="27"/>
        <v>2045</v>
      </c>
      <c r="CY31" s="1661">
        <f t="shared" si="28"/>
        <v>2</v>
      </c>
      <c r="CZ31" s="1661">
        <f t="shared" si="29"/>
        <v>2045</v>
      </c>
      <c r="DA31" s="1661">
        <f t="shared" si="30"/>
        <v>11</v>
      </c>
      <c r="DB31" s="1663">
        <f t="shared" si="31"/>
        <v>2044</v>
      </c>
      <c r="DC31" s="1664" t="str">
        <f t="shared" si="32"/>
        <v>- - -</v>
      </c>
      <c r="DD31" s="1664" t="str">
        <f t="shared" si="33"/>
        <v>. .</v>
      </c>
      <c r="DE31" s="1652"/>
      <c r="DF31" s="1652">
        <f t="shared" si="34"/>
        <v>720</v>
      </c>
      <c r="DG31" s="1652">
        <f t="shared" si="35"/>
        <v>-23812</v>
      </c>
      <c r="DH31" s="1652">
        <f t="shared" si="36"/>
        <v>-1985</v>
      </c>
      <c r="DI31" s="1652" t="str">
        <f t="shared" si="37"/>
        <v>Nam dưới 35</v>
      </c>
      <c r="DJ31" s="1652"/>
      <c r="DK31" s="1654"/>
      <c r="DL31" s="1641" t="str">
        <f t="shared" si="38"/>
        <v>Đến 30</v>
      </c>
      <c r="DM31" s="1626" t="str">
        <f t="shared" si="48"/>
        <v>--</v>
      </c>
      <c r="DN31" s="1626"/>
      <c r="DO31" s="1626"/>
      <c r="DP31" s="1626"/>
      <c r="DQ31" s="1641"/>
      <c r="DR31" s="1641"/>
      <c r="DS31" s="1665"/>
      <c r="DT31" s="1666"/>
      <c r="DU31" s="1642"/>
      <c r="DV31" s="1665"/>
      <c r="DW31" s="1637" t="s">
        <v>368</v>
      </c>
      <c r="DX31" s="1667" t="s">
        <v>419</v>
      </c>
      <c r="DY31" s="1667" t="s">
        <v>368</v>
      </c>
      <c r="DZ31" s="1667" t="s">
        <v>341</v>
      </c>
      <c r="EA31" s="1668" t="s">
        <v>359</v>
      </c>
      <c r="EB31" s="1667" t="s">
        <v>341</v>
      </c>
      <c r="EC31" s="1626" t="s">
        <v>359</v>
      </c>
      <c r="ED31" s="1637">
        <v>2013</v>
      </c>
      <c r="EE31" s="1667">
        <f t="shared" si="40"/>
        <v>0</v>
      </c>
      <c r="EF31" s="1667" t="str">
        <f t="shared" si="41"/>
        <v>- - -</v>
      </c>
      <c r="EG31" s="1667" t="s">
        <v>341</v>
      </c>
      <c r="EH31" s="1668" t="s">
        <v>359</v>
      </c>
      <c r="EI31" s="1626" t="s">
        <v>341</v>
      </c>
      <c r="EJ31" s="1641" t="s">
        <v>359</v>
      </c>
      <c r="EK31" s="1663">
        <v>2013</v>
      </c>
      <c r="EL31" s="1642"/>
      <c r="EM31" s="1661" t="str">
        <f>IF(AND(BE31&gt;0.34,AO31=1,OR(BD31=6.2,BD31=5.75)),((BD31-EL31)-2*0.34),IF(AND(BE31&gt;0.33,AO31=1,OR(BD31=4.4,BD31=4)),((BD31-EL31)-2*0.33),"- - -"))</f>
        <v>- - -</v>
      </c>
      <c r="EN31" s="1661" t="str">
        <f t="shared" si="43"/>
        <v>---</v>
      </c>
    </row>
    <row r="32" spans="1:144" s="1661" customFormat="1" ht="33.75" customHeight="1" x14ac:dyDescent="0.2">
      <c r="A32" s="1626">
        <v>517</v>
      </c>
      <c r="B32" s="1627">
        <v>18</v>
      </c>
      <c r="C32" s="1626"/>
      <c r="D32" s="1626" t="str">
        <f t="shared" si="0"/>
        <v>Ông</v>
      </c>
      <c r="E32" s="1628" t="s">
        <v>59</v>
      </c>
      <c r="F32" s="1629" t="s">
        <v>378</v>
      </c>
      <c r="G32" s="1630" t="s">
        <v>269</v>
      </c>
      <c r="H32" s="1630" t="s">
        <v>359</v>
      </c>
      <c r="I32" s="1630" t="s">
        <v>370</v>
      </c>
      <c r="J32" s="599" t="s">
        <v>359</v>
      </c>
      <c r="K32" s="599">
        <v>1988</v>
      </c>
      <c r="L32" s="599" t="s">
        <v>434</v>
      </c>
      <c r="M32" s="599" t="str">
        <f t="shared" si="1"/>
        <v>NLĐ</v>
      </c>
      <c r="N32" s="599"/>
      <c r="O32" s="599" t="e">
        <f t="shared" si="2"/>
        <v>#N/A</v>
      </c>
      <c r="P32" s="599"/>
      <c r="Q32" s="1628" t="e">
        <f>VLOOKUP(P32,'[1]- DLiêu Gốc (Không sửa)'!$C$2:$H$116,2,0)</f>
        <v>#N/A</v>
      </c>
      <c r="R32" s="1631" t="s">
        <v>368</v>
      </c>
      <c r="S32" s="601" t="s">
        <v>419</v>
      </c>
      <c r="T32" s="1632" t="str">
        <f>VLOOKUP(Y32,'- DLiêu Gốc -'!$C$2:$H$60,5,0)</f>
        <v>C</v>
      </c>
      <c r="U32" s="1632" t="str">
        <f>VLOOKUP(Y32,'- DLiêu Gốc -'!$C$2:$H$60,6,0)</f>
        <v>Nhân viên</v>
      </c>
      <c r="V32" s="1632" t="s">
        <v>425</v>
      </c>
      <c r="W32" s="1633" t="str">
        <f t="shared" si="3"/>
        <v>Nhân viên</v>
      </c>
      <c r="X32" s="640" t="str">
        <f t="shared" si="4"/>
        <v>01.005</v>
      </c>
      <c r="Y32" s="601" t="s">
        <v>357</v>
      </c>
      <c r="Z32" s="640" t="str">
        <f>VLOOKUP(Y32,'- DLiêu Gốc -'!$C$1:$H$133,2,0)</f>
        <v>01.007</v>
      </c>
      <c r="AA32" s="640" t="str">
        <f t="shared" si="5"/>
        <v>Lương</v>
      </c>
      <c r="AB32" s="1634">
        <v>5</v>
      </c>
      <c r="AC32" s="635" t="s">
        <v>359</v>
      </c>
      <c r="AD32" s="635">
        <v>12</v>
      </c>
      <c r="AE32" s="1635">
        <f t="shared" si="6"/>
        <v>2.37</v>
      </c>
      <c r="AF32" s="1636"/>
      <c r="AG32" s="601"/>
      <c r="AH32" s="1637"/>
      <c r="AI32" s="606" t="s">
        <v>359</v>
      </c>
      <c r="AJ32" s="1669" t="s">
        <v>341</v>
      </c>
      <c r="AK32" s="1639" t="s">
        <v>359</v>
      </c>
      <c r="AL32" s="1640">
        <v>2018</v>
      </c>
      <c r="AM32" s="1641"/>
      <c r="AN32" s="1642"/>
      <c r="AO32" s="1643">
        <f>AB32+1</f>
        <v>6</v>
      </c>
      <c r="AP32" s="1644" t="str">
        <f>IF(AD32=AB32,"%",IF(AD32&gt;AB32,"/"))</f>
        <v>/</v>
      </c>
      <c r="AQ32" s="1645">
        <f>IF(AND(AD32=AB32,AO32=4),5,IF(AND(AD32=AB32,AO32&gt;4),AO32+1,IF(AD32&gt;AB32,AD32)))</f>
        <v>12</v>
      </c>
      <c r="AR32" s="1646">
        <f>IF(AD32=AB32,"%",IF(AD32&gt;AB32,AE32+BE32))</f>
        <v>2.5500000000000003</v>
      </c>
      <c r="AS32" s="601"/>
      <c r="AT32" s="1647" t="s">
        <v>341</v>
      </c>
      <c r="AU32" s="1648" t="s">
        <v>359</v>
      </c>
      <c r="AV32" s="1638" t="s">
        <v>341</v>
      </c>
      <c r="AW32" s="1645" t="s">
        <v>359</v>
      </c>
      <c r="AX32" s="1649">
        <v>2021</v>
      </c>
      <c r="AY32" s="1650"/>
      <c r="AZ32" s="1641"/>
      <c r="BA32" s="1651"/>
      <c r="BB32" s="1652">
        <f t="shared" si="11"/>
        <v>2</v>
      </c>
      <c r="BC32" s="1653">
        <f t="shared" si="12"/>
        <v>-24253</v>
      </c>
      <c r="BD32" s="1653">
        <f>VLOOKUP(Y32,'- DLiêu Gốc -'!$C$1:$F$60,3,0)</f>
        <v>1.65</v>
      </c>
      <c r="BE32" s="1654">
        <f>VLOOKUP(Y32,'- DLiêu Gốc -'!$C$1:$F$60,4,0)</f>
        <v>0.18</v>
      </c>
      <c r="BF32" s="1655" t="str">
        <f t="shared" si="13"/>
        <v>o-o-o</v>
      </c>
      <c r="BG32" s="1656"/>
      <c r="BH32" s="1657"/>
      <c r="BI32" s="1658"/>
      <c r="BJ32" s="1659"/>
      <c r="BK32" s="1658"/>
      <c r="BL32" s="1642"/>
      <c r="BM32" s="1565"/>
      <c r="BN32" s="1566"/>
      <c r="BO32" s="1655"/>
      <c r="BP32" s="1656"/>
      <c r="BQ32" s="1657"/>
      <c r="BR32" s="1658"/>
      <c r="BS32" s="1659"/>
      <c r="BT32" s="1658"/>
      <c r="BU32" s="1642"/>
      <c r="BV32" s="608"/>
      <c r="BW32" s="1641"/>
      <c r="BX32" s="1654"/>
      <c r="BY32" s="1654" t="str">
        <f t="shared" si="14"/>
        <v>- - -</v>
      </c>
      <c r="BZ32" s="1642" t="str">
        <f t="shared" si="15"/>
        <v>- - -</v>
      </c>
      <c r="CA32" s="1660" t="str">
        <f t="shared" si="16"/>
        <v>Chánh Văn phòng Học viện, Trưởng Ban Tổ chức - Cán bộ</v>
      </c>
      <c r="CB32" s="1652" t="str">
        <f t="shared" si="17"/>
        <v>A</v>
      </c>
      <c r="CC32" s="1652" t="str">
        <f>IF(AND(AO32&gt;0,AB32&lt;(AD32-1),CD32&gt;0,CD32&lt;13,OR(AND(CJ32="Cùg Ng",($CC$2-CF32)&gt;BB32),CJ32="- - -")),"Sớm TT","=&gt; s")</f>
        <v>=&gt; s</v>
      </c>
      <c r="CD32" s="1626">
        <f t="shared" si="19"/>
        <v>24265</v>
      </c>
      <c r="CE32" s="1626" t="str">
        <f t="shared" si="20"/>
        <v>---</v>
      </c>
      <c r="CG32" s="1626"/>
      <c r="CI32" s="1626"/>
      <c r="CJ32" s="1641" t="str">
        <f t="shared" si="21"/>
        <v>- - -</v>
      </c>
      <c r="CK32" s="1641" t="str">
        <f t="shared" si="22"/>
        <v>- - -</v>
      </c>
      <c r="CL32" s="1626"/>
      <c r="CM32" s="1641"/>
      <c r="CN32" s="1641"/>
      <c r="CO32" s="1641"/>
      <c r="CP32" s="1641" t="str">
        <f t="shared" si="23"/>
        <v>- - -</v>
      </c>
      <c r="CQ32" s="1626"/>
      <c r="CR32" s="1641"/>
      <c r="CS32" s="1641"/>
      <c r="CT32" s="1662"/>
      <c r="CU32" s="1574" t="str">
        <f t="shared" si="24"/>
        <v>---</v>
      </c>
      <c r="CV32" s="1661" t="str">
        <f t="shared" si="25"/>
        <v>/-/ /-/</v>
      </c>
      <c r="CW32" s="1661">
        <f t="shared" si="26"/>
        <v>11</v>
      </c>
      <c r="CX32" s="1661">
        <f t="shared" si="27"/>
        <v>2048</v>
      </c>
      <c r="CY32" s="1661">
        <f t="shared" si="28"/>
        <v>8</v>
      </c>
      <c r="CZ32" s="1661">
        <f t="shared" si="29"/>
        <v>2048</v>
      </c>
      <c r="DA32" s="1661">
        <f t="shared" si="30"/>
        <v>5</v>
      </c>
      <c r="DB32" s="1663">
        <f t="shared" si="31"/>
        <v>2048</v>
      </c>
      <c r="DC32" s="1664" t="str">
        <f t="shared" si="32"/>
        <v>- - -</v>
      </c>
      <c r="DD32" s="1664" t="str">
        <f t="shared" si="33"/>
        <v>. .</v>
      </c>
      <c r="DE32" s="1652"/>
      <c r="DF32" s="1652">
        <f t="shared" si="34"/>
        <v>720</v>
      </c>
      <c r="DG32" s="1652">
        <f t="shared" si="35"/>
        <v>-23854</v>
      </c>
      <c r="DH32" s="1652">
        <f t="shared" si="36"/>
        <v>-1988</v>
      </c>
      <c r="DI32" s="1652" t="str">
        <f t="shared" si="37"/>
        <v>Nam dưới 35</v>
      </c>
      <c r="DJ32" s="1652"/>
      <c r="DK32" s="1654"/>
      <c r="DL32" s="1641" t="str">
        <f t="shared" si="38"/>
        <v>Đến 30</v>
      </c>
      <c r="DM32" s="1626" t="str">
        <f t="shared" si="48"/>
        <v>--</v>
      </c>
      <c r="DN32" s="1626"/>
      <c r="DO32" s="1626"/>
      <c r="DP32" s="1626"/>
      <c r="DQ32" s="1641"/>
      <c r="DR32" s="1641"/>
      <c r="DS32" s="1665"/>
      <c r="DT32" s="1666"/>
      <c r="DU32" s="1642"/>
      <c r="DV32" s="1665"/>
      <c r="DW32" s="1637" t="s">
        <v>368</v>
      </c>
      <c r="DX32" s="1667" t="s">
        <v>419</v>
      </c>
      <c r="DY32" s="1667" t="s">
        <v>368</v>
      </c>
      <c r="DZ32" s="1667" t="s">
        <v>341</v>
      </c>
      <c r="EA32" s="1668" t="s">
        <v>359</v>
      </c>
      <c r="EB32" s="1667" t="s">
        <v>347</v>
      </c>
      <c r="EC32" s="1626" t="s">
        <v>359</v>
      </c>
      <c r="ED32" s="1637">
        <v>2013</v>
      </c>
      <c r="EE32" s="1667">
        <f t="shared" si="40"/>
        <v>0</v>
      </c>
      <c r="EF32" s="1667" t="str">
        <f t="shared" si="41"/>
        <v>- - -</v>
      </c>
      <c r="EG32" s="1667" t="s">
        <v>341</v>
      </c>
      <c r="EH32" s="1668" t="s">
        <v>359</v>
      </c>
      <c r="EI32" s="1626" t="s">
        <v>347</v>
      </c>
      <c r="EJ32" s="1641" t="s">
        <v>359</v>
      </c>
      <c r="EK32" s="1663">
        <v>2013</v>
      </c>
      <c r="EL32" s="1642"/>
      <c r="EM32" s="1661" t="str">
        <f>IF(AND(BE32&gt;0.34,AO32=1,OR(BD32=6.2,BD32=5.75)),((BD32-EL32)-2*0.34),IF(AND(BE32&gt;0.33,AO32=1,OR(BD32=4.4,BD32=4)),((BD32-EL32)-2*0.33),"- - -"))</f>
        <v>- - -</v>
      </c>
      <c r="EN32" s="1661" t="str">
        <f t="shared" si="43"/>
        <v>---</v>
      </c>
    </row>
    <row r="33" spans="1:144" s="1661" customFormat="1" ht="33.75" customHeight="1" x14ac:dyDescent="0.2">
      <c r="A33" s="1626">
        <v>587</v>
      </c>
      <c r="B33" s="1627">
        <v>19</v>
      </c>
      <c r="C33" s="1626"/>
      <c r="D33" s="1626" t="str">
        <f t="shared" si="0"/>
        <v>Bà</v>
      </c>
      <c r="E33" s="1628" t="s">
        <v>383</v>
      </c>
      <c r="F33" s="1629" t="s">
        <v>380</v>
      </c>
      <c r="G33" s="1630" t="s">
        <v>269</v>
      </c>
      <c r="H33" s="1630" t="s">
        <v>359</v>
      </c>
      <c r="I33" s="1630" t="s">
        <v>346</v>
      </c>
      <c r="J33" s="599" t="s">
        <v>359</v>
      </c>
      <c r="K33" s="599">
        <v>1981</v>
      </c>
      <c r="L33" s="599" t="s">
        <v>451</v>
      </c>
      <c r="M33" s="599" t="str">
        <f t="shared" si="1"/>
        <v>VC</v>
      </c>
      <c r="N33" s="599"/>
      <c r="O33" s="599" t="str">
        <f t="shared" si="2"/>
        <v>- -</v>
      </c>
      <c r="P33" s="599"/>
      <c r="Q33" s="1628">
        <f>VLOOKUP(P33,'[2]- DLiêu Gốc -'!$B$2:$G$120,2,0)</f>
        <v>0</v>
      </c>
      <c r="R33" s="1631" t="s">
        <v>318</v>
      </c>
      <c r="S33" s="601" t="s">
        <v>568</v>
      </c>
      <c r="T33" s="1632" t="str">
        <f>VLOOKUP(Y33,'[2]- DLiêu Gốc -'!$B$2:$G$54,5,0)</f>
        <v>A1</v>
      </c>
      <c r="U33" s="1632" t="str">
        <f>VLOOKUP(Y33,'[2]- DLiêu Gốc -'!$B$2:$G$54,6,0)</f>
        <v>- - -</v>
      </c>
      <c r="V33" s="1632" t="s">
        <v>425</v>
      </c>
      <c r="W33" s="1633" t="str">
        <f t="shared" si="3"/>
        <v>Chuyên viên</v>
      </c>
      <c r="X33" s="640" t="str">
        <f t="shared" si="4"/>
        <v>01.003</v>
      </c>
      <c r="Y33" s="601" t="s">
        <v>339</v>
      </c>
      <c r="Z33" s="640" t="str">
        <f>VLOOKUP(Y33,'- DLiêu Gốc -'!$C$1:$H$133,2,0)</f>
        <v>01.003</v>
      </c>
      <c r="AA33" s="640" t="str">
        <f t="shared" si="5"/>
        <v>Lương</v>
      </c>
      <c r="AB33" s="1634">
        <v>5</v>
      </c>
      <c r="AC33" s="635" t="s">
        <v>359</v>
      </c>
      <c r="AD33" s="635">
        <v>9</v>
      </c>
      <c r="AE33" s="1635">
        <f t="shared" si="6"/>
        <v>3.66</v>
      </c>
      <c r="AF33" s="1636"/>
      <c r="AG33" s="601"/>
      <c r="AH33" s="1637"/>
      <c r="AI33" s="606" t="s">
        <v>359</v>
      </c>
      <c r="AJ33" s="1669" t="s">
        <v>341</v>
      </c>
      <c r="AK33" s="1639" t="s">
        <v>359</v>
      </c>
      <c r="AL33" s="1640">
        <v>2018</v>
      </c>
      <c r="AM33" s="1641"/>
      <c r="AN33" s="1642"/>
      <c r="AO33" s="1643">
        <f t="shared" ref="AO33:AO39" si="49">AB33+1</f>
        <v>6</v>
      </c>
      <c r="AP33" s="1644" t="str">
        <f t="shared" ref="AP33:AP39" si="50">IF(AD33=AB33,"%",IF(AD33&gt;AB33,"/"))</f>
        <v>/</v>
      </c>
      <c r="AQ33" s="1645">
        <f t="shared" ref="AQ33:AQ39" si="51">IF(AND(AD33=AB33,AO33=4),5,IF(AND(AD33=AB33,AO33&gt;4),AO33+1,IF(AD33&gt;AB33,AD33)))</f>
        <v>9</v>
      </c>
      <c r="AR33" s="1646">
        <f t="shared" ref="AR33:AR39" si="52">IF(AD33=AB33,"%",IF(AD33&gt;AB33,AE33+BE33))</f>
        <v>3.99</v>
      </c>
      <c r="AS33" s="601"/>
      <c r="AT33" s="1647" t="s">
        <v>341</v>
      </c>
      <c r="AU33" s="1648" t="s">
        <v>359</v>
      </c>
      <c r="AV33" s="1638" t="s">
        <v>341</v>
      </c>
      <c r="AW33" s="1645" t="s">
        <v>359</v>
      </c>
      <c r="AX33" s="1649">
        <v>2021</v>
      </c>
      <c r="AY33" s="1650"/>
      <c r="AZ33" s="1641"/>
      <c r="BA33" s="1651">
        <v>1.18</v>
      </c>
      <c r="BB33" s="1652">
        <f t="shared" si="11"/>
        <v>3</v>
      </c>
      <c r="BC33" s="1653">
        <f t="shared" si="12"/>
        <v>-24253</v>
      </c>
      <c r="BD33" s="1653">
        <f>VLOOKUP(Y33,'[2]- DLiêu Gốc -'!$B$1:$E$54,3,0)</f>
        <v>2.34</v>
      </c>
      <c r="BE33" s="1654">
        <f>VLOOKUP(Y33,'[2]- DLiêu Gốc -'!$B$1:$E$54,4,0)</f>
        <v>0.33</v>
      </c>
      <c r="BF33" s="1655" t="str">
        <f t="shared" si="13"/>
        <v>o-o-o</v>
      </c>
      <c r="BG33" s="1656"/>
      <c r="BH33" s="1657"/>
      <c r="BI33" s="1658"/>
      <c r="BJ33" s="1659"/>
      <c r="BK33" s="1658"/>
      <c r="BL33" s="1642"/>
      <c r="BM33" s="1565"/>
      <c r="BN33" s="1566"/>
      <c r="BO33" s="1655"/>
      <c r="BP33" s="1656"/>
      <c r="BQ33" s="1657"/>
      <c r="BR33" s="1658"/>
      <c r="BS33" s="1659"/>
      <c r="BT33" s="1658"/>
      <c r="BU33" s="1642"/>
      <c r="BV33" s="608"/>
      <c r="BW33" s="1641" t="s">
        <v>345</v>
      </c>
      <c r="BX33" s="1654"/>
      <c r="BY33" s="1654" t="str">
        <f t="shared" si="14"/>
        <v>- - -</v>
      </c>
      <c r="BZ33" s="1642" t="str">
        <f t="shared" si="15"/>
        <v>- - -</v>
      </c>
      <c r="CA33" s="1660" t="str">
        <f t="shared" si="16"/>
        <v>Chánh Văn phòng Học viện, Trưởng Ban Tổ chức - Cán bộ, Trưởng Phân viện Học viện Hành chính Quốc gia tại thành phố Huế</v>
      </c>
      <c r="CB33" s="1652" t="str">
        <f t="shared" si="17"/>
        <v>A</v>
      </c>
      <c r="CC33" s="1652" t="str">
        <f t="shared" ref="CC33:CC39" si="53">IF(AND(AO33&gt;0,AB33&lt;(AD33-1),CD33&gt;0,CD33&lt;13,OR(AND(CJ33="Cùg Ng",($CC$2-CF33)&gt;BB33),CJ33="- - -")),"Sớm TT","=&gt; s")</f>
        <v>=&gt; s</v>
      </c>
      <c r="CD33" s="1626">
        <f t="shared" si="19"/>
        <v>24277</v>
      </c>
      <c r="CE33" s="1626" t="str">
        <f t="shared" si="20"/>
        <v>---</v>
      </c>
      <c r="CG33" s="1626"/>
      <c r="CI33" s="1626"/>
      <c r="CJ33" s="1641" t="str">
        <f t="shared" si="21"/>
        <v>- - -</v>
      </c>
      <c r="CK33" s="1641" t="str">
        <f t="shared" si="22"/>
        <v>- - -</v>
      </c>
      <c r="CL33" s="1626"/>
      <c r="CM33" s="1641"/>
      <c r="CN33" s="1641"/>
      <c r="CO33" s="1641"/>
      <c r="CP33" s="1641" t="str">
        <f t="shared" si="23"/>
        <v>- - -</v>
      </c>
      <c r="CQ33" s="1626"/>
      <c r="CR33" s="1641"/>
      <c r="CS33" s="1641"/>
      <c r="CT33" s="1662"/>
      <c r="CU33" s="1574" t="str">
        <f>IF(AND(CV33="Hưu",AB33&lt;(AD33-1),DC33&gt;0,DC33&lt;18,OR(BG33&lt;4,AND(BG33&gt;3,OR(BZ33&lt;3,BZ33&gt;5)))),"Lg Sớm",IF(AND(CV33="Hưu",AB33&gt;(AD33-2),OR(BE33=0.33,BE33=0.34),OR(BG33&lt;4,AND(BG33&gt;3,OR(BZ33&lt;3,BZ33&gt;5)))),"Nâng Ngạch??",IF(AND(CV33="Hưu",BB33=1,DC33&gt;2,DC33&lt;6,OR(BG33&lt;4,AND(BG33&gt;3,OR(BZ33&lt;3,BZ33&gt;5)))),"Nâng PcVK cùng QĐ",IF(AND(CV33="Hưu",BG33&gt;3,BZ33&gt;2,BZ33&lt;6,AB33&lt;(AD33-1),DC33&gt;17,OR(BB33&gt;1,AND(BB33=1,OR(DC33&lt;3,DC33&gt;5)))),"Nâng PcNG cùng QĐ",IF(AND(CV33="Hưu",AB33&lt;(AD33-1),DC33&gt;0,DC33&lt;18,BG33&gt;3,BZ33&gt;2,BZ33&lt;6),"Nâng Lg Sớm +(PcNG cùng QĐ)",IF(AND(CV33="Hưu",AB33&gt;(AD33-2),OR(BE33=0.33,BE33=0.34),BG33&gt;3,BZ33&gt;2,BZ33&lt;6),"Nâng Ngạch?? +(PcNG cùng QĐ)",IF(AND(CV33="Hưu",BB33=1,DC33&gt;2,DC33&lt;6,BG33&gt;3,BZ33&gt;2,BZ33&lt;6),"Nâng (PcVK +PcNG) cùng QĐ",("---"))))))))</f>
        <v>---</v>
      </c>
      <c r="CV33" s="1661" t="str">
        <f t="shared" si="25"/>
        <v>/-/ /-/</v>
      </c>
      <c r="CW33" s="1661">
        <f t="shared" si="26"/>
        <v>4</v>
      </c>
      <c r="CX33" s="1661">
        <f t="shared" si="27"/>
        <v>2036</v>
      </c>
      <c r="CY33" s="1661">
        <f t="shared" si="28"/>
        <v>1</v>
      </c>
      <c r="CZ33" s="1661">
        <f t="shared" si="29"/>
        <v>2036</v>
      </c>
      <c r="DA33" s="1661">
        <f t="shared" si="30"/>
        <v>10</v>
      </c>
      <c r="DB33" s="1663">
        <f t="shared" si="31"/>
        <v>2035</v>
      </c>
      <c r="DC33" s="1664" t="str">
        <f t="shared" si="32"/>
        <v>- - -</v>
      </c>
      <c r="DD33" s="1664" t="str">
        <f t="shared" si="33"/>
        <v>. .</v>
      </c>
      <c r="DE33" s="1652"/>
      <c r="DF33" s="1652">
        <f t="shared" si="34"/>
        <v>660</v>
      </c>
      <c r="DG33" s="1652">
        <f t="shared" si="35"/>
        <v>-23763</v>
      </c>
      <c r="DH33" s="1652">
        <f t="shared" si="36"/>
        <v>-1981</v>
      </c>
      <c r="DI33" s="1652" t="str">
        <f t="shared" si="37"/>
        <v>Nữ dưới 30</v>
      </c>
      <c r="DJ33" s="1652"/>
      <c r="DK33" s="1654"/>
      <c r="DL33" s="1641" t="str">
        <f t="shared" si="38"/>
        <v>Đến 30</v>
      </c>
      <c r="DM33" s="1626" t="str">
        <f t="shared" si="48"/>
        <v>--</v>
      </c>
      <c r="DN33" s="1626"/>
      <c r="DO33" s="1626"/>
      <c r="DP33" s="1626"/>
      <c r="DQ33" s="1641"/>
      <c r="DR33" s="1641"/>
      <c r="DS33" s="1665"/>
      <c r="DT33" s="1666"/>
      <c r="DU33" s="1642"/>
      <c r="DV33" s="1665"/>
      <c r="DW33" s="1637" t="s">
        <v>318</v>
      </c>
      <c r="DX33" s="1667" t="s">
        <v>417</v>
      </c>
      <c r="DY33" s="1667" t="s">
        <v>318</v>
      </c>
      <c r="DZ33" s="1667" t="s">
        <v>341</v>
      </c>
      <c r="EA33" s="1668" t="s">
        <v>359</v>
      </c>
      <c r="EB33" s="1667" t="s">
        <v>341</v>
      </c>
      <c r="EC33" s="1626" t="s">
        <v>359</v>
      </c>
      <c r="ED33" s="1637" t="s">
        <v>377</v>
      </c>
      <c r="EE33" s="1667">
        <f t="shared" si="40"/>
        <v>0</v>
      </c>
      <c r="EF33" s="1667" t="str">
        <f t="shared" si="41"/>
        <v>- - -</v>
      </c>
      <c r="EG33" s="1667" t="s">
        <v>341</v>
      </c>
      <c r="EH33" s="1668" t="s">
        <v>359</v>
      </c>
      <c r="EI33" s="1626" t="s">
        <v>341</v>
      </c>
      <c r="EJ33" s="1641" t="s">
        <v>359</v>
      </c>
      <c r="EK33" s="1663" t="s">
        <v>377</v>
      </c>
      <c r="EL33" s="1642"/>
      <c r="EM33" s="1661" t="str">
        <f t="shared" ref="EM33:EM39" si="54">IF(AND(BE33&gt;0.34,AO33=1,OR(BD33=6.2,BD33=5.75)),((BD33-EL33)-2*0.34),IF(AND(BE33&gt;0.33,AO33=1,OR(BD33=4.4,BD33=4)),((BD33-EL33)-2*0.33),"- - -"))</f>
        <v>- - -</v>
      </c>
      <c r="EN33" s="1661" t="str">
        <f t="shared" si="43"/>
        <v>---</v>
      </c>
    </row>
    <row r="34" spans="1:144" s="1661" customFormat="1" ht="33.75" customHeight="1" x14ac:dyDescent="0.2">
      <c r="A34" s="1626">
        <v>625</v>
      </c>
      <c r="B34" s="1627">
        <v>20</v>
      </c>
      <c r="C34" s="1626"/>
      <c r="D34" s="1626" t="str">
        <f t="shared" si="0"/>
        <v>Ông</v>
      </c>
      <c r="E34" s="1628" t="s">
        <v>463</v>
      </c>
      <c r="F34" s="1629" t="s">
        <v>378</v>
      </c>
      <c r="G34" s="1630" t="s">
        <v>11</v>
      </c>
      <c r="H34" s="1630" t="s">
        <v>359</v>
      </c>
      <c r="I34" s="1630" t="s">
        <v>376</v>
      </c>
      <c r="J34" s="599" t="s">
        <v>359</v>
      </c>
      <c r="K34" s="599">
        <v>1992</v>
      </c>
      <c r="L34" s="599" t="s">
        <v>434</v>
      </c>
      <c r="M34" s="599" t="str">
        <f t="shared" si="1"/>
        <v>NLĐ</v>
      </c>
      <c r="N34" s="599"/>
      <c r="O34" s="599" t="e">
        <f t="shared" si="2"/>
        <v>#N/A</v>
      </c>
      <c r="P34" s="599"/>
      <c r="Q34" s="1628" t="e">
        <f>VLOOKUP(P34,'[1]- DLiêu Gốc (Không sửa)'!$C$2:$H$116,2,0)</f>
        <v>#N/A</v>
      </c>
      <c r="R34" s="1631" t="s">
        <v>640</v>
      </c>
      <c r="S34" s="601" t="s">
        <v>569</v>
      </c>
      <c r="T34" s="1632" t="str">
        <f>VLOOKUP(Y34,'- DLiêu Gốc -'!$C$2:$H$60,5,0)</f>
        <v>A1</v>
      </c>
      <c r="U34" s="1632" t="str">
        <f>VLOOKUP(Y34,'- DLiêu Gốc -'!$C$2:$H$60,6,0)</f>
        <v>- - -</v>
      </c>
      <c r="V34" s="1632" t="s">
        <v>425</v>
      </c>
      <c r="W34" s="1633" t="str">
        <f t="shared" si="3"/>
        <v>Chuyên viên</v>
      </c>
      <c r="X34" s="640" t="str">
        <f t="shared" si="4"/>
        <v>01.003</v>
      </c>
      <c r="Y34" s="601" t="s">
        <v>339</v>
      </c>
      <c r="Z34" s="640" t="str">
        <f>VLOOKUP(Y34,'- DLiêu Gốc -'!$C$1:$H$133,2,0)</f>
        <v>01.003</v>
      </c>
      <c r="AA34" s="640" t="str">
        <f t="shared" si="5"/>
        <v>Lương</v>
      </c>
      <c r="AB34" s="1634">
        <v>1</v>
      </c>
      <c r="AC34" s="635" t="s">
        <v>359</v>
      </c>
      <c r="AD34" s="635">
        <v>9</v>
      </c>
      <c r="AE34" s="1635">
        <f t="shared" si="6"/>
        <v>2.34</v>
      </c>
      <c r="AF34" s="1636"/>
      <c r="AG34" s="601"/>
      <c r="AH34" s="1637"/>
      <c r="AI34" s="606" t="s">
        <v>359</v>
      </c>
      <c r="AJ34" s="1669" t="s">
        <v>341</v>
      </c>
      <c r="AK34" s="1639" t="s">
        <v>359</v>
      </c>
      <c r="AL34" s="1640">
        <v>2018</v>
      </c>
      <c r="AM34" s="1641"/>
      <c r="AN34" s="1642"/>
      <c r="AO34" s="1643">
        <f t="shared" si="49"/>
        <v>2</v>
      </c>
      <c r="AP34" s="1644" t="str">
        <f t="shared" si="50"/>
        <v>/</v>
      </c>
      <c r="AQ34" s="1645">
        <f t="shared" si="51"/>
        <v>9</v>
      </c>
      <c r="AR34" s="1646">
        <f t="shared" si="52"/>
        <v>2.67</v>
      </c>
      <c r="AS34" s="601"/>
      <c r="AT34" s="1647" t="s">
        <v>341</v>
      </c>
      <c r="AU34" s="1648"/>
      <c r="AV34" s="1638" t="s">
        <v>341</v>
      </c>
      <c r="AW34" s="1645" t="s">
        <v>359</v>
      </c>
      <c r="AX34" s="1649">
        <v>2021</v>
      </c>
      <c r="AY34" s="1650"/>
      <c r="AZ34" s="1641"/>
      <c r="BA34" s="1651"/>
      <c r="BB34" s="1652">
        <f t="shared" si="11"/>
        <v>3</v>
      </c>
      <c r="BC34" s="1653">
        <f t="shared" si="12"/>
        <v>-24253</v>
      </c>
      <c r="BD34" s="1653">
        <f>VLOOKUP(Y34,'- DLiêu Gốc -'!$C$1:$F$60,3,0)</f>
        <v>2.34</v>
      </c>
      <c r="BE34" s="1654">
        <f>VLOOKUP(Y34,'- DLiêu Gốc -'!$C$1:$F$60,4,0)</f>
        <v>0.33</v>
      </c>
      <c r="BF34" s="1655" t="str">
        <f t="shared" si="13"/>
        <v>o-o-o</v>
      </c>
      <c r="BG34" s="1656"/>
      <c r="BH34" s="1657"/>
      <c r="BI34" s="1658"/>
      <c r="BJ34" s="1659"/>
      <c r="BK34" s="1658"/>
      <c r="BL34" s="1642"/>
      <c r="BM34" s="1565"/>
      <c r="BN34" s="1566"/>
      <c r="BO34" s="1655"/>
      <c r="BP34" s="1656"/>
      <c r="BQ34" s="1657"/>
      <c r="BR34" s="1658"/>
      <c r="BS34" s="1659"/>
      <c r="BT34" s="1658"/>
      <c r="BU34" s="1642"/>
      <c r="BV34" s="608"/>
      <c r="BW34" s="1641"/>
      <c r="BX34" s="1654"/>
      <c r="BY34" s="1654" t="str">
        <f t="shared" si="14"/>
        <v>- - -</v>
      </c>
      <c r="BZ34" s="1642" t="str">
        <f>IF(BH34&gt;3,(($BG$2-BW34)*12+($BG$4-BU34)-BO34),"- - -")</f>
        <v>- - -</v>
      </c>
      <c r="CA34" s="1660" t="str">
        <f t="shared" si="16"/>
        <v>Chánh Văn phòng Học viện, Trưởng Ban Tổ chức - Cán bộ, Trưởng Phân viện Học viện Hành chính Quốc gia khu vực Tây Nguyên</v>
      </c>
      <c r="CB34" s="1652" t="str">
        <f t="shared" si="17"/>
        <v>A</v>
      </c>
      <c r="CC34" s="1652" t="str">
        <f t="shared" si="53"/>
        <v>=&gt; s</v>
      </c>
      <c r="CD34" s="1626">
        <f t="shared" si="19"/>
        <v>24277</v>
      </c>
      <c r="CE34" s="1626" t="str">
        <f t="shared" si="20"/>
        <v>---</v>
      </c>
      <c r="CG34" s="1626"/>
      <c r="CI34" s="1626"/>
      <c r="CJ34" s="1641" t="str">
        <f t="shared" si="21"/>
        <v>- - -</v>
      </c>
      <c r="CK34" s="1641" t="str">
        <f t="shared" si="22"/>
        <v>- - -</v>
      </c>
      <c r="CL34" s="1626"/>
      <c r="CM34" s="1641"/>
      <c r="CN34" s="1641"/>
      <c r="CO34" s="1641"/>
      <c r="CP34" s="1641" t="str">
        <f t="shared" si="23"/>
        <v>- - -</v>
      </c>
      <c r="CQ34" s="1626"/>
      <c r="CR34" s="1641"/>
      <c r="CS34" s="1641"/>
      <c r="CT34" s="1662"/>
      <c r="CU34" s="1574" t="str">
        <f t="shared" ref="CU34:CU40" si="55">IF(AND(CV34="Hưu",AB34&lt;(AD34-1),DC34&gt;0,DC34&lt;18,OR(BG34&lt;4,AND(BG34&gt;3,OR(BZ34&lt;3,BZ34&gt;5)))),"Lg Sớm",IF(AND(CV34="Hưu",AB34&gt;(AD34-2),OR(BE34=0.33,BE34=0.34),OR(BG34&lt;4,AND(BG34&gt;3,OR(BZ34&lt;3,BZ34&gt;5)))),"Nâng Ngạch",IF(AND(CV34="Hưu",BB34=1,DC34&gt;2,DC34&lt;6,OR(BG34&lt;4,AND(BG34&gt;3,OR(BZ34&lt;3,BZ34&gt;5)))),"Nâng PcVK cùng QĐ",IF(AND(CV34="Hưu",BG34&gt;3,BZ34&gt;2,BZ34&lt;6,AB34&lt;(AD34-1),DC34&gt;17,OR(BB34&gt;1,AND(BB34=1,OR(DC34&lt;3,DC34&gt;5)))),"Nâng PcNG cùng QĐ",IF(AND(CV34="Hưu",AB34&lt;(AD34-1),DC34&gt;0,DC34&lt;18,BG34&gt;3,BZ34&gt;2,BZ34&lt;6),"Nâng Lg Sớm +(PcNG cùng QĐ)",IF(AND(CV34="Hưu",AB34&gt;(AD34-2),OR(BE34=0.33,BE34=0.34),BG34&gt;3,BZ34&gt;2,BZ34&lt;6),"Nâng Ngạch +(PcNG cùng QĐ)",IF(AND(CV34="Hưu",BB34=1,DC34&gt;2,DC34&lt;6,BG34&gt;3,BZ34&gt;2,BZ34&lt;6),"Nâng (PcVK +PcNG) cùng QĐ",("---"))))))))</f>
        <v>---</v>
      </c>
      <c r="CV34" s="1661" t="str">
        <f t="shared" si="25"/>
        <v>/-/ /-/</v>
      </c>
      <c r="CW34" s="1661">
        <f t="shared" si="26"/>
        <v>5</v>
      </c>
      <c r="CX34" s="1661">
        <f t="shared" si="27"/>
        <v>2052</v>
      </c>
      <c r="CY34" s="1661">
        <f t="shared" si="28"/>
        <v>2</v>
      </c>
      <c r="CZ34" s="1661">
        <f t="shared" si="29"/>
        <v>2052</v>
      </c>
      <c r="DA34" s="1661">
        <f t="shared" si="30"/>
        <v>11</v>
      </c>
      <c r="DB34" s="1663">
        <f t="shared" si="31"/>
        <v>2051</v>
      </c>
      <c r="DC34" s="1664" t="str">
        <f t="shared" si="32"/>
        <v>- - -</v>
      </c>
      <c r="DD34" s="1664" t="str">
        <f t="shared" si="33"/>
        <v>. .</v>
      </c>
      <c r="DE34" s="1652"/>
      <c r="DF34" s="1652">
        <f t="shared" si="34"/>
        <v>720</v>
      </c>
      <c r="DG34" s="1652">
        <f t="shared" si="35"/>
        <v>-23896</v>
      </c>
      <c r="DH34" s="1652">
        <f t="shared" si="36"/>
        <v>-1992</v>
      </c>
      <c r="DI34" s="1652" t="str">
        <f t="shared" si="37"/>
        <v>Nam dưới 35</v>
      </c>
      <c r="DJ34" s="1652"/>
      <c r="DK34" s="1654"/>
      <c r="DL34" s="1641" t="str">
        <f t="shared" si="38"/>
        <v>Đến 30</v>
      </c>
      <c r="DM34" s="1626" t="str">
        <f t="shared" si="48"/>
        <v>--</v>
      </c>
      <c r="DN34" s="1626"/>
      <c r="DO34" s="1626"/>
      <c r="DP34" s="1626"/>
      <c r="DQ34" s="1641"/>
      <c r="DR34" s="1641"/>
      <c r="DS34" s="1665"/>
      <c r="DT34" s="1666"/>
      <c r="DU34" s="1642"/>
      <c r="DV34" s="1665"/>
      <c r="DW34" s="1637" t="s">
        <v>67</v>
      </c>
      <c r="DX34" s="1667" t="s">
        <v>138</v>
      </c>
      <c r="DY34" s="1667" t="s">
        <v>67</v>
      </c>
      <c r="DZ34" s="1667" t="s">
        <v>266</v>
      </c>
      <c r="EA34" s="1668" t="s">
        <v>359</v>
      </c>
      <c r="EB34" s="1667" t="s">
        <v>345</v>
      </c>
      <c r="EC34" s="1626" t="s">
        <v>359</v>
      </c>
      <c r="ED34" s="1637">
        <v>2014</v>
      </c>
      <c r="EE34" s="1667">
        <f t="shared" si="40"/>
        <v>15</v>
      </c>
      <c r="EF34" s="1667" t="str">
        <f t="shared" si="41"/>
        <v>Sửa</v>
      </c>
      <c r="EG34" s="1667" t="s">
        <v>341</v>
      </c>
      <c r="EH34" s="1668" t="s">
        <v>359</v>
      </c>
      <c r="EI34" s="1626" t="s">
        <v>348</v>
      </c>
      <c r="EJ34" s="1641" t="s">
        <v>359</v>
      </c>
      <c r="EK34" s="1663">
        <v>2014</v>
      </c>
      <c r="EL34" s="1642"/>
      <c r="EM34" s="1661" t="str">
        <f t="shared" si="54"/>
        <v>- - -</v>
      </c>
      <c r="EN34" s="1661" t="str">
        <f t="shared" si="43"/>
        <v>---</v>
      </c>
    </row>
    <row r="35" spans="1:144" s="1661" customFormat="1" ht="33.75" customHeight="1" x14ac:dyDescent="0.2">
      <c r="A35" s="1626">
        <v>640</v>
      </c>
      <c r="B35" s="1627">
        <v>21</v>
      </c>
      <c r="C35" s="1626"/>
      <c r="D35" s="1626" t="str">
        <f t="shared" si="0"/>
        <v>Ông</v>
      </c>
      <c r="E35" s="1628" t="s">
        <v>262</v>
      </c>
      <c r="F35" s="1629" t="s">
        <v>378</v>
      </c>
      <c r="G35" s="1630" t="s">
        <v>277</v>
      </c>
      <c r="H35" s="1630" t="s">
        <v>359</v>
      </c>
      <c r="I35" s="1630" t="s">
        <v>343</v>
      </c>
      <c r="J35" s="599" t="s">
        <v>359</v>
      </c>
      <c r="K35" s="599">
        <v>1963</v>
      </c>
      <c r="L35" s="599" t="s">
        <v>451</v>
      </c>
      <c r="M35" s="599" t="str">
        <f t="shared" si="1"/>
        <v>VC</v>
      </c>
      <c r="N35" s="599"/>
      <c r="O35" s="599" t="str">
        <f t="shared" si="2"/>
        <v>CVụ</v>
      </c>
      <c r="P35" s="599" t="s">
        <v>250</v>
      </c>
      <c r="Q35" s="1628" t="str">
        <f>VLOOKUP(P35,'[1]- DLiêu Gốc (Không sửa)'!$C$2:$H$116,2,0)</f>
        <v>0,4</v>
      </c>
      <c r="R35" s="1631" t="s">
        <v>592</v>
      </c>
      <c r="S35" s="601" t="s">
        <v>569</v>
      </c>
      <c r="T35" s="1632" t="str">
        <f>VLOOKUP(Y35,'- DLiêu Gốc -'!$C$2:$H$60,5,0)</f>
        <v>A2</v>
      </c>
      <c r="U35" s="1632" t="str">
        <f>VLOOKUP(Y35,'- DLiêu Gốc -'!$C$2:$H$60,6,0)</f>
        <v>A2.1</v>
      </c>
      <c r="V35" s="1632" t="s">
        <v>425</v>
      </c>
      <c r="W35" s="1633" t="str">
        <f t="shared" si="3"/>
        <v>Chuyên viên chính</v>
      </c>
      <c r="X35" s="640" t="str">
        <f t="shared" si="4"/>
        <v>01.002</v>
      </c>
      <c r="Y35" s="601" t="s">
        <v>351</v>
      </c>
      <c r="Z35" s="640" t="str">
        <f>VLOOKUP(Y35,'- DLiêu Gốc -'!$C$1:$H$133,2,0)</f>
        <v>01.002</v>
      </c>
      <c r="AA35" s="640" t="str">
        <f t="shared" si="5"/>
        <v>Lương</v>
      </c>
      <c r="AB35" s="1634">
        <v>3</v>
      </c>
      <c r="AC35" s="635" t="s">
        <v>359</v>
      </c>
      <c r="AD35" s="635">
        <v>8</v>
      </c>
      <c r="AE35" s="1635">
        <f t="shared" si="6"/>
        <v>5.08</v>
      </c>
      <c r="AF35" s="1636"/>
      <c r="AG35" s="601"/>
      <c r="AH35" s="1637"/>
      <c r="AI35" s="606" t="s">
        <v>359</v>
      </c>
      <c r="AJ35" s="1669" t="s">
        <v>341</v>
      </c>
      <c r="AK35" s="1639" t="s">
        <v>359</v>
      </c>
      <c r="AL35" s="1640">
        <v>2018</v>
      </c>
      <c r="AM35" s="1641"/>
      <c r="AN35" s="1642"/>
      <c r="AO35" s="1643">
        <f t="shared" si="49"/>
        <v>4</v>
      </c>
      <c r="AP35" s="1644" t="str">
        <f t="shared" si="50"/>
        <v>/</v>
      </c>
      <c r="AQ35" s="1645">
        <f t="shared" si="51"/>
        <v>8</v>
      </c>
      <c r="AR35" s="1646">
        <f t="shared" si="52"/>
        <v>5.42</v>
      </c>
      <c r="AS35" s="601"/>
      <c r="AT35" s="1647" t="s">
        <v>341</v>
      </c>
      <c r="AU35" s="1648" t="s">
        <v>359</v>
      </c>
      <c r="AV35" s="1638" t="s">
        <v>374</v>
      </c>
      <c r="AW35" s="1645" t="s">
        <v>359</v>
      </c>
      <c r="AX35" s="1649">
        <v>2021</v>
      </c>
      <c r="AY35" s="1650"/>
      <c r="AZ35" s="1641"/>
      <c r="BA35" s="1651">
        <v>1.18</v>
      </c>
      <c r="BB35" s="1652">
        <f t="shared" si="11"/>
        <v>3</v>
      </c>
      <c r="BC35" s="1653">
        <f t="shared" si="12"/>
        <v>-24253</v>
      </c>
      <c r="BD35" s="1653">
        <f>VLOOKUP(Y35,'- DLiêu Gốc -'!$C$1:$F$60,3,0)</f>
        <v>4.4000000000000004</v>
      </c>
      <c r="BE35" s="1654">
        <f>VLOOKUP(Y35,'- DLiêu Gốc -'!$C$1:$F$60,4,0)</f>
        <v>0.34</v>
      </c>
      <c r="BF35" s="1655" t="str">
        <f t="shared" si="13"/>
        <v>o-o-o</v>
      </c>
      <c r="BG35" s="1656"/>
      <c r="BH35" s="1657"/>
      <c r="BI35" s="1658"/>
      <c r="BJ35" s="1659"/>
      <c r="BK35" s="1658"/>
      <c r="BL35" s="1642"/>
      <c r="BM35" s="1565"/>
      <c r="BN35" s="1566"/>
      <c r="BO35" s="1655"/>
      <c r="BP35" s="1656"/>
      <c r="BQ35" s="1657"/>
      <c r="BR35" s="1658"/>
      <c r="BS35" s="1659"/>
      <c r="BT35" s="1658"/>
      <c r="BU35" s="1642"/>
      <c r="BV35" s="608"/>
      <c r="BW35" s="1641"/>
      <c r="BX35" s="1654"/>
      <c r="BY35" s="1654" t="str">
        <f t="shared" si="14"/>
        <v>- - -</v>
      </c>
      <c r="BZ35" s="1642" t="str">
        <f>IF(BH35&gt;3,(($BG$2-BW35)*12+($BG$4-BU35)-BO35),"- - -")</f>
        <v>- - -</v>
      </c>
      <c r="CA35" s="1660" t="str">
        <f t="shared" si="16"/>
        <v>Chánh Văn phòng Học viện, Trưởng Ban Tổ chức - Cán bộ, Trưởng Phân viện Học viện Hành chính Quốc gia khu vực Tây Nguyên</v>
      </c>
      <c r="CB35" s="1652" t="str">
        <f t="shared" si="17"/>
        <v>A</v>
      </c>
      <c r="CC35" s="1652" t="str">
        <f t="shared" si="53"/>
        <v>=&gt; s</v>
      </c>
      <c r="CD35" s="1626">
        <f t="shared" si="19"/>
        <v>24277</v>
      </c>
      <c r="CE35" s="1626" t="str">
        <f t="shared" si="20"/>
        <v>---</v>
      </c>
      <c r="CG35" s="1626"/>
      <c r="CI35" s="1626"/>
      <c r="CJ35" s="1641" t="str">
        <f t="shared" si="21"/>
        <v>- - -</v>
      </c>
      <c r="CK35" s="1641" t="str">
        <f t="shared" si="22"/>
        <v>- - -</v>
      </c>
      <c r="CL35" s="1626"/>
      <c r="CM35" s="1641"/>
      <c r="CN35" s="1641"/>
      <c r="CO35" s="1641"/>
      <c r="CP35" s="1641" t="str">
        <f t="shared" si="23"/>
        <v>- - -</v>
      </c>
      <c r="CQ35" s="1626"/>
      <c r="CR35" s="1641"/>
      <c r="CS35" s="1641"/>
      <c r="CT35" s="1662"/>
      <c r="CU35" s="1574" t="str">
        <f t="shared" si="55"/>
        <v>---</v>
      </c>
      <c r="CV35" s="1661" t="str">
        <f t="shared" si="25"/>
        <v>/-/ /-/</v>
      </c>
      <c r="CW35" s="1661">
        <f t="shared" si="26"/>
        <v>6</v>
      </c>
      <c r="CX35" s="1661">
        <f t="shared" si="27"/>
        <v>2023</v>
      </c>
      <c r="CY35" s="1661">
        <f t="shared" si="28"/>
        <v>3</v>
      </c>
      <c r="CZ35" s="1661">
        <f t="shared" si="29"/>
        <v>2023</v>
      </c>
      <c r="DA35" s="1661">
        <f t="shared" si="30"/>
        <v>12</v>
      </c>
      <c r="DB35" s="1663">
        <f t="shared" si="31"/>
        <v>2022</v>
      </c>
      <c r="DC35" s="1664" t="str">
        <f t="shared" si="32"/>
        <v>- - -</v>
      </c>
      <c r="DD35" s="1664" t="str">
        <f t="shared" si="33"/>
        <v>. .</v>
      </c>
      <c r="DE35" s="1652"/>
      <c r="DF35" s="1652">
        <f t="shared" si="34"/>
        <v>720</v>
      </c>
      <c r="DG35" s="1652">
        <f t="shared" si="35"/>
        <v>-23549</v>
      </c>
      <c r="DH35" s="1652">
        <f t="shared" si="36"/>
        <v>-1963</v>
      </c>
      <c r="DI35" s="1652" t="str">
        <f t="shared" si="37"/>
        <v>Nam dưới 35</v>
      </c>
      <c r="DJ35" s="1652"/>
      <c r="DK35" s="1654"/>
      <c r="DL35" s="1641" t="str">
        <f t="shared" si="38"/>
        <v>Đến 30</v>
      </c>
      <c r="DM35" s="1626" t="str">
        <f t="shared" si="48"/>
        <v>--</v>
      </c>
      <c r="DN35" s="1626"/>
      <c r="DO35" s="1626"/>
      <c r="DP35" s="1626"/>
      <c r="DQ35" s="1641"/>
      <c r="DR35" s="1641"/>
      <c r="DS35" s="1665"/>
      <c r="DT35" s="1666"/>
      <c r="DU35" s="1642"/>
      <c r="DV35" s="1665"/>
      <c r="DW35" s="1637" t="s">
        <v>368</v>
      </c>
      <c r="DX35" s="1667" t="s">
        <v>138</v>
      </c>
      <c r="DY35" s="1667" t="s">
        <v>4</v>
      </c>
      <c r="DZ35" s="1667" t="s">
        <v>341</v>
      </c>
      <c r="EA35" s="1668" t="s">
        <v>359</v>
      </c>
      <c r="EB35" s="1667" t="s">
        <v>341</v>
      </c>
      <c r="EC35" s="1626" t="s">
        <v>359</v>
      </c>
      <c r="ED35" s="1637">
        <v>2012</v>
      </c>
      <c r="EE35" s="1667">
        <f t="shared" si="40"/>
        <v>0</v>
      </c>
      <c r="EF35" s="1667" t="str">
        <f t="shared" si="41"/>
        <v>- - -</v>
      </c>
      <c r="EG35" s="1667" t="s">
        <v>341</v>
      </c>
      <c r="EH35" s="1668" t="s">
        <v>359</v>
      </c>
      <c r="EI35" s="1626" t="s">
        <v>341</v>
      </c>
      <c r="EJ35" s="1641" t="s">
        <v>359</v>
      </c>
      <c r="EK35" s="1663">
        <v>2012</v>
      </c>
      <c r="EL35" s="1642"/>
      <c r="EM35" s="1661" t="str">
        <f t="shared" si="54"/>
        <v>- - -</v>
      </c>
      <c r="EN35" s="1661" t="str">
        <f t="shared" si="43"/>
        <v>---</v>
      </c>
    </row>
    <row r="36" spans="1:144" s="1661" customFormat="1" ht="33.75" customHeight="1" x14ac:dyDescent="0.2">
      <c r="A36" s="1626">
        <v>670</v>
      </c>
      <c r="B36" s="1627">
        <v>22</v>
      </c>
      <c r="C36" s="1626"/>
      <c r="D36" s="1626" t="str">
        <f t="shared" si="0"/>
        <v>Bà</v>
      </c>
      <c r="E36" s="1628" t="s">
        <v>304</v>
      </c>
      <c r="F36" s="1629" t="s">
        <v>380</v>
      </c>
      <c r="G36" s="1630" t="s">
        <v>271</v>
      </c>
      <c r="H36" s="1630" t="s">
        <v>359</v>
      </c>
      <c r="I36" s="1630" t="s">
        <v>347</v>
      </c>
      <c r="J36" s="599" t="s">
        <v>359</v>
      </c>
      <c r="K36" s="599">
        <v>1977</v>
      </c>
      <c r="L36" s="599" t="s">
        <v>451</v>
      </c>
      <c r="M36" s="599" t="str">
        <f t="shared" si="1"/>
        <v>VC</v>
      </c>
      <c r="N36" s="599"/>
      <c r="O36" s="599" t="e">
        <f t="shared" si="2"/>
        <v>#N/A</v>
      </c>
      <c r="P36" s="599"/>
      <c r="Q36" s="1628" t="e">
        <f>VLOOKUP(P36,'[1]- DLiêu Gốc (Không sửa)'!$C$2:$H$116,2,0)</f>
        <v>#N/A</v>
      </c>
      <c r="R36" s="1631" t="s">
        <v>6</v>
      </c>
      <c r="S36" s="601" t="s">
        <v>566</v>
      </c>
      <c r="T36" s="1632" t="str">
        <f>VLOOKUP(Y36,'- DLiêu Gốc -'!$C$2:$H$60,5,0)</f>
        <v>A1</v>
      </c>
      <c r="U36" s="1632" t="str">
        <f>VLOOKUP(Y36,'- DLiêu Gốc -'!$C$2:$H$60,6,0)</f>
        <v>- - -</v>
      </c>
      <c r="V36" s="1632" t="s">
        <v>424</v>
      </c>
      <c r="W36" s="1633" t="str">
        <f t="shared" si="3"/>
        <v>Giảng viên (hạng III)</v>
      </c>
      <c r="X36" s="640" t="str">
        <f t="shared" si="4"/>
        <v>V.07.01.03</v>
      </c>
      <c r="Y36" s="601" t="s">
        <v>430</v>
      </c>
      <c r="Z36" s="640" t="str">
        <f>VLOOKUP(Y36,'- DLiêu Gốc -'!$C$1:$H$133,2,0)</f>
        <v>V.07.01.03</v>
      </c>
      <c r="AA36" s="640" t="str">
        <f t="shared" si="5"/>
        <v>Lương</v>
      </c>
      <c r="AB36" s="1634">
        <v>6</v>
      </c>
      <c r="AC36" s="635" t="s">
        <v>359</v>
      </c>
      <c r="AD36" s="635">
        <v>9</v>
      </c>
      <c r="AE36" s="1635">
        <f t="shared" si="6"/>
        <v>3.99</v>
      </c>
      <c r="AF36" s="1636"/>
      <c r="AG36" s="601"/>
      <c r="AH36" s="1637"/>
      <c r="AI36" s="606" t="s">
        <v>359</v>
      </c>
      <c r="AJ36" s="1669" t="s">
        <v>341</v>
      </c>
      <c r="AK36" s="1639" t="s">
        <v>359</v>
      </c>
      <c r="AL36" s="1640">
        <v>2018</v>
      </c>
      <c r="AM36" s="1641"/>
      <c r="AN36" s="1642"/>
      <c r="AO36" s="1643">
        <f t="shared" si="49"/>
        <v>7</v>
      </c>
      <c r="AP36" s="1644" t="str">
        <f t="shared" si="50"/>
        <v>/</v>
      </c>
      <c r="AQ36" s="1645">
        <f t="shared" si="51"/>
        <v>9</v>
      </c>
      <c r="AR36" s="1646">
        <f t="shared" si="52"/>
        <v>4.32</v>
      </c>
      <c r="AS36" s="601"/>
      <c r="AT36" s="1647" t="s">
        <v>341</v>
      </c>
      <c r="AU36" s="1648" t="s">
        <v>359</v>
      </c>
      <c r="AV36" s="1638" t="s">
        <v>341</v>
      </c>
      <c r="AW36" s="1645" t="s">
        <v>359</v>
      </c>
      <c r="AX36" s="1649">
        <v>2021</v>
      </c>
      <c r="AY36" s="1650"/>
      <c r="AZ36" s="1641"/>
      <c r="BA36" s="1651">
        <v>1.18</v>
      </c>
      <c r="BB36" s="1652">
        <f t="shared" si="11"/>
        <v>3</v>
      </c>
      <c r="BC36" s="1653">
        <f t="shared" si="12"/>
        <v>-24253</v>
      </c>
      <c r="BD36" s="1653">
        <f>VLOOKUP(Y36,'- DLiêu Gốc -'!$C$1:$F$60,3,0)</f>
        <v>2.34</v>
      </c>
      <c r="BE36" s="1654">
        <f>VLOOKUP(Y36,'- DLiêu Gốc -'!$C$1:$F$60,4,0)</f>
        <v>0.33</v>
      </c>
      <c r="BF36" s="1655" t="str">
        <f t="shared" si="13"/>
        <v>PCTN</v>
      </c>
      <c r="BG36" s="1656">
        <v>16</v>
      </c>
      <c r="BH36" s="1657" t="s">
        <v>332</v>
      </c>
      <c r="BI36" s="1658" t="s">
        <v>341</v>
      </c>
      <c r="BJ36" s="1659" t="s">
        <v>359</v>
      </c>
      <c r="BK36" s="1658">
        <v>5</v>
      </c>
      <c r="BL36" s="1642" t="s">
        <v>359</v>
      </c>
      <c r="BM36" s="1565">
        <v>2019</v>
      </c>
      <c r="BN36" s="1566"/>
      <c r="BO36" s="1655"/>
      <c r="BP36" s="1656">
        <f>IF(BG36&gt;3,BG36+1,0)</f>
        <v>17</v>
      </c>
      <c r="BQ36" s="1657" t="s">
        <v>332</v>
      </c>
      <c r="BR36" s="1658" t="s">
        <v>341</v>
      </c>
      <c r="BS36" s="1659" t="s">
        <v>359</v>
      </c>
      <c r="BT36" s="1658">
        <v>5</v>
      </c>
      <c r="BU36" s="1642" t="s">
        <v>359</v>
      </c>
      <c r="BV36" s="608">
        <v>2020</v>
      </c>
      <c r="BW36" s="1641"/>
      <c r="BX36" s="1654">
        <v>5</v>
      </c>
      <c r="BY36" s="1654">
        <f t="shared" si="14"/>
        <v>-24245</v>
      </c>
      <c r="BZ36" s="1642" t="str">
        <f>IF(AND(CV36="Hưu",BG36&gt;3),12-(12*(DB36-BV36)+(DA36-BT36))-BN36,"- - -")</f>
        <v>- - -</v>
      </c>
      <c r="CA36" s="1660" t="str">
        <f t="shared" si="16"/>
        <v>Chánh Văn phòng Học viện, Trưởng Ban Tổ chức - Cán bộ, Trưởng Phân viện Học viện Hành chính Quốc gia tại Thành phố Hồ Chí Minh</v>
      </c>
      <c r="CB36" s="1652" t="str">
        <f t="shared" si="17"/>
        <v>A</v>
      </c>
      <c r="CC36" s="1652" t="str">
        <f t="shared" si="53"/>
        <v>=&gt; s</v>
      </c>
      <c r="CD36" s="1626">
        <f t="shared" si="19"/>
        <v>24277</v>
      </c>
      <c r="CE36" s="1626" t="str">
        <f t="shared" si="20"/>
        <v>---</v>
      </c>
      <c r="CG36" s="1626"/>
      <c r="CI36" s="1626"/>
      <c r="CJ36" s="1641" t="str">
        <f t="shared" si="21"/>
        <v>- - -</v>
      </c>
      <c r="CK36" s="1641" t="str">
        <f t="shared" si="22"/>
        <v>- - -</v>
      </c>
      <c r="CL36" s="1626"/>
      <c r="CM36" s="1641"/>
      <c r="CN36" s="1641"/>
      <c r="CO36" s="1641"/>
      <c r="CP36" s="1641" t="str">
        <f t="shared" si="23"/>
        <v>- - -</v>
      </c>
      <c r="CQ36" s="1626"/>
      <c r="CR36" s="1641"/>
      <c r="CS36" s="1641"/>
      <c r="CT36" s="1662"/>
      <c r="CU36" s="1574" t="str">
        <f t="shared" si="55"/>
        <v>---</v>
      </c>
      <c r="CV36" s="1661" t="str">
        <f t="shared" si="25"/>
        <v>/-/ /-/</v>
      </c>
      <c r="CW36" s="1661">
        <f t="shared" si="26"/>
        <v>8</v>
      </c>
      <c r="CX36" s="1661">
        <f t="shared" si="27"/>
        <v>2032</v>
      </c>
      <c r="CY36" s="1661">
        <f t="shared" si="28"/>
        <v>5</v>
      </c>
      <c r="CZ36" s="1661">
        <f t="shared" si="29"/>
        <v>2032</v>
      </c>
      <c r="DA36" s="1661">
        <f t="shared" si="30"/>
        <v>2</v>
      </c>
      <c r="DB36" s="1663">
        <f t="shared" si="31"/>
        <v>2032</v>
      </c>
      <c r="DC36" s="1664" t="str">
        <f t="shared" si="32"/>
        <v>- - -</v>
      </c>
      <c r="DD36" s="1664" t="str">
        <f t="shared" si="33"/>
        <v>. .</v>
      </c>
      <c r="DE36" s="1652"/>
      <c r="DF36" s="1652">
        <f t="shared" si="34"/>
        <v>660</v>
      </c>
      <c r="DG36" s="1652">
        <f t="shared" si="35"/>
        <v>-23719</v>
      </c>
      <c r="DH36" s="1652">
        <f t="shared" si="36"/>
        <v>-1977</v>
      </c>
      <c r="DI36" s="1652" t="str">
        <f t="shared" si="37"/>
        <v>Nữ dưới 30</v>
      </c>
      <c r="DJ36" s="1652"/>
      <c r="DK36" s="1654"/>
      <c r="DL36" s="1641" t="str">
        <f t="shared" si="38"/>
        <v>Đến 30</v>
      </c>
      <c r="DM36" s="1626" t="str">
        <f t="shared" si="48"/>
        <v>TD</v>
      </c>
      <c r="DN36" s="1626">
        <v>2012</v>
      </c>
      <c r="DO36" s="1626"/>
      <c r="DP36" s="1626"/>
      <c r="DQ36" s="1641"/>
      <c r="DR36" s="1641"/>
      <c r="DS36" s="1665"/>
      <c r="DT36" s="1666"/>
      <c r="DU36" s="1642"/>
      <c r="DV36" s="1665"/>
      <c r="DW36" s="1637" t="s">
        <v>6</v>
      </c>
      <c r="DX36" s="1667" t="s">
        <v>416</v>
      </c>
      <c r="DY36" s="1667" t="s">
        <v>6</v>
      </c>
      <c r="DZ36" s="1667" t="s">
        <v>341</v>
      </c>
      <c r="EA36" s="1668" t="s">
        <v>359</v>
      </c>
      <c r="EB36" s="1667" t="s">
        <v>341</v>
      </c>
      <c r="EC36" s="1626" t="s">
        <v>359</v>
      </c>
      <c r="ED36" s="1637" t="s">
        <v>377</v>
      </c>
      <c r="EE36" s="1667">
        <f t="shared" si="40"/>
        <v>0</v>
      </c>
      <c r="EF36" s="1667" t="str">
        <f t="shared" si="41"/>
        <v>- - -</v>
      </c>
      <c r="EG36" s="1667" t="s">
        <v>341</v>
      </c>
      <c r="EH36" s="1668" t="s">
        <v>359</v>
      </c>
      <c r="EI36" s="1626" t="s">
        <v>341</v>
      </c>
      <c r="EJ36" s="1641" t="s">
        <v>359</v>
      </c>
      <c r="EK36" s="1663" t="s">
        <v>377</v>
      </c>
      <c r="EL36" s="1642"/>
      <c r="EM36" s="1661" t="str">
        <f t="shared" si="54"/>
        <v>- - -</v>
      </c>
      <c r="EN36" s="1661" t="str">
        <f t="shared" si="43"/>
        <v>---</v>
      </c>
    </row>
    <row r="37" spans="1:144" s="1661" customFormat="1" ht="33.75" customHeight="1" x14ac:dyDescent="0.2">
      <c r="A37" s="1626">
        <v>672</v>
      </c>
      <c r="B37" s="1627">
        <v>23</v>
      </c>
      <c r="C37" s="1626"/>
      <c r="D37" s="1626" t="str">
        <f t="shared" si="0"/>
        <v>Ông</v>
      </c>
      <c r="E37" s="1628" t="s">
        <v>77</v>
      </c>
      <c r="F37" s="1629" t="s">
        <v>378</v>
      </c>
      <c r="G37" s="1630" t="s">
        <v>272</v>
      </c>
      <c r="H37" s="1630" t="s">
        <v>359</v>
      </c>
      <c r="I37" s="1630" t="s">
        <v>376</v>
      </c>
      <c r="J37" s="599" t="s">
        <v>359</v>
      </c>
      <c r="K37" s="599" t="s">
        <v>78</v>
      </c>
      <c r="L37" s="599" t="s">
        <v>434</v>
      </c>
      <c r="M37" s="599" t="str">
        <f t="shared" si="1"/>
        <v>NLĐ</v>
      </c>
      <c r="N37" s="599"/>
      <c r="O37" s="599" t="e">
        <f t="shared" si="2"/>
        <v>#N/A</v>
      </c>
      <c r="P37" s="599"/>
      <c r="Q37" s="1628" t="e">
        <f>VLOOKUP(P37,'[1]- DLiêu Gốc (Không sửa)'!$C$2:$H$116,2,0)</f>
        <v>#N/A</v>
      </c>
      <c r="R37" s="1631" t="s">
        <v>6</v>
      </c>
      <c r="S37" s="601" t="s">
        <v>566</v>
      </c>
      <c r="T37" s="1632" t="str">
        <f>VLOOKUP(Y37,'- DLiêu Gốc -'!$C$2:$H$60,5,0)</f>
        <v>A1</v>
      </c>
      <c r="U37" s="1632" t="str">
        <f>VLOOKUP(Y37,'- DLiêu Gốc -'!$C$2:$H$60,6,0)</f>
        <v>- - -</v>
      </c>
      <c r="V37" s="1632" t="s">
        <v>424</v>
      </c>
      <c r="W37" s="1633" t="str">
        <f t="shared" si="3"/>
        <v>Giảng viên (hạng III)</v>
      </c>
      <c r="X37" s="640" t="str">
        <f t="shared" si="4"/>
        <v>V.07.01.03</v>
      </c>
      <c r="Y37" s="601" t="s">
        <v>430</v>
      </c>
      <c r="Z37" s="640" t="str">
        <f>VLOOKUP(Y37,'- DLiêu Gốc -'!$C$1:$H$133,2,0)</f>
        <v>V.07.01.03</v>
      </c>
      <c r="AA37" s="640" t="str">
        <f t="shared" si="5"/>
        <v>Lương</v>
      </c>
      <c r="AB37" s="1634">
        <v>3</v>
      </c>
      <c r="AC37" s="635" t="s">
        <v>359</v>
      </c>
      <c r="AD37" s="635">
        <v>9</v>
      </c>
      <c r="AE37" s="1635">
        <f t="shared" si="6"/>
        <v>3</v>
      </c>
      <c r="AF37" s="1636"/>
      <c r="AG37" s="601"/>
      <c r="AH37" s="1637"/>
      <c r="AI37" s="606" t="s">
        <v>359</v>
      </c>
      <c r="AJ37" s="1669" t="s">
        <v>341</v>
      </c>
      <c r="AK37" s="1639" t="s">
        <v>359</v>
      </c>
      <c r="AL37" s="1640">
        <v>2018</v>
      </c>
      <c r="AM37" s="1641"/>
      <c r="AN37" s="1642"/>
      <c r="AO37" s="1643">
        <f t="shared" si="49"/>
        <v>4</v>
      </c>
      <c r="AP37" s="1644" t="str">
        <f t="shared" si="50"/>
        <v>/</v>
      </c>
      <c r="AQ37" s="1645">
        <f t="shared" si="51"/>
        <v>9</v>
      </c>
      <c r="AR37" s="1646">
        <f t="shared" si="52"/>
        <v>3.33</v>
      </c>
      <c r="AS37" s="601"/>
      <c r="AT37" s="1647" t="s">
        <v>341</v>
      </c>
      <c r="AU37" s="1648" t="s">
        <v>359</v>
      </c>
      <c r="AV37" s="1638" t="s">
        <v>341</v>
      </c>
      <c r="AW37" s="1645" t="s">
        <v>359</v>
      </c>
      <c r="AX37" s="1649">
        <v>2021</v>
      </c>
      <c r="AY37" s="1650"/>
      <c r="AZ37" s="1641"/>
      <c r="BA37" s="1651">
        <v>1.18</v>
      </c>
      <c r="BB37" s="1652">
        <f t="shared" si="11"/>
        <v>3</v>
      </c>
      <c r="BC37" s="1653">
        <f t="shared" si="12"/>
        <v>-24253</v>
      </c>
      <c r="BD37" s="1653">
        <f>VLOOKUP(Y37,'- DLiêu Gốc -'!$C$1:$F$60,3,0)</f>
        <v>2.34</v>
      </c>
      <c r="BE37" s="1654">
        <f>VLOOKUP(Y37,'- DLiêu Gốc -'!$C$1:$F$60,4,0)</f>
        <v>0.33</v>
      </c>
      <c r="BF37" s="1655" t="str">
        <f t="shared" si="13"/>
        <v>o-o-o</v>
      </c>
      <c r="BG37" s="1656"/>
      <c r="BH37" s="1657"/>
      <c r="BI37" s="1658"/>
      <c r="BJ37" s="1659"/>
      <c r="BK37" s="1658"/>
      <c r="BL37" s="1642"/>
      <c r="BM37" s="1565"/>
      <c r="BN37" s="1566"/>
      <c r="BO37" s="1655"/>
      <c r="BP37" s="1656"/>
      <c r="BQ37" s="1657"/>
      <c r="BR37" s="1658"/>
      <c r="BS37" s="1659"/>
      <c r="BT37" s="1658"/>
      <c r="BU37" s="1642"/>
      <c r="BV37" s="608"/>
      <c r="BW37" s="1641"/>
      <c r="BX37" s="1654"/>
      <c r="BY37" s="1654" t="str">
        <f t="shared" si="14"/>
        <v>- - -</v>
      </c>
      <c r="BZ37" s="1642" t="str">
        <f>IF(BH37&gt;3,(($BG$2-BW37)*12+($BG$4-BU37)-BO37),"- - -")</f>
        <v>- - -</v>
      </c>
      <c r="CA37" s="1660" t="str">
        <f t="shared" si="16"/>
        <v>Chánh Văn phòng Học viện, Trưởng Ban Tổ chức - Cán bộ, Trưởng Phân viện Học viện Hành chính Quốc gia tại Thành phố Hồ Chí Minh</v>
      </c>
      <c r="CB37" s="1652" t="str">
        <f t="shared" si="17"/>
        <v>A</v>
      </c>
      <c r="CC37" s="1652" t="str">
        <f t="shared" si="53"/>
        <v>=&gt; s</v>
      </c>
      <c r="CD37" s="1626">
        <f t="shared" si="19"/>
        <v>24277</v>
      </c>
      <c r="CE37" s="1626" t="str">
        <f t="shared" si="20"/>
        <v>---</v>
      </c>
      <c r="CG37" s="1626"/>
      <c r="CI37" s="1626"/>
      <c r="CJ37" s="1641" t="str">
        <f t="shared" si="21"/>
        <v>- - -</v>
      </c>
      <c r="CK37" s="1641" t="str">
        <f t="shared" si="22"/>
        <v>- - -</v>
      </c>
      <c r="CL37" s="1626"/>
      <c r="CM37" s="1641"/>
      <c r="CN37" s="1641"/>
      <c r="CO37" s="1641"/>
      <c r="CP37" s="1641" t="str">
        <f t="shared" si="23"/>
        <v>- - -</v>
      </c>
      <c r="CQ37" s="1626"/>
      <c r="CR37" s="1641"/>
      <c r="CS37" s="1641"/>
      <c r="CT37" s="1662"/>
      <c r="CU37" s="1574" t="str">
        <f t="shared" si="55"/>
        <v>---</v>
      </c>
      <c r="CV37" s="1661" t="str">
        <f t="shared" si="25"/>
        <v>/-/ /-/</v>
      </c>
      <c r="CW37" s="1661">
        <f t="shared" si="26"/>
        <v>5</v>
      </c>
      <c r="CX37" s="1661">
        <f t="shared" si="27"/>
        <v>2045</v>
      </c>
      <c r="CY37" s="1661">
        <f t="shared" si="28"/>
        <v>2</v>
      </c>
      <c r="CZ37" s="1661">
        <f t="shared" si="29"/>
        <v>2045</v>
      </c>
      <c r="DA37" s="1661">
        <f t="shared" si="30"/>
        <v>11</v>
      </c>
      <c r="DB37" s="1663">
        <f t="shared" si="31"/>
        <v>2044</v>
      </c>
      <c r="DC37" s="1664" t="str">
        <f t="shared" si="32"/>
        <v>- - -</v>
      </c>
      <c r="DD37" s="1664" t="str">
        <f t="shared" si="33"/>
        <v>. .</v>
      </c>
      <c r="DE37" s="1652"/>
      <c r="DF37" s="1652">
        <f t="shared" si="34"/>
        <v>720</v>
      </c>
      <c r="DG37" s="1652">
        <f t="shared" si="35"/>
        <v>-23812</v>
      </c>
      <c r="DH37" s="1652">
        <f t="shared" si="36"/>
        <v>-1985</v>
      </c>
      <c r="DI37" s="1652" t="str">
        <f t="shared" si="37"/>
        <v>Nam dưới 35</v>
      </c>
      <c r="DJ37" s="1652"/>
      <c r="DK37" s="1654"/>
      <c r="DL37" s="1641" t="str">
        <f t="shared" si="38"/>
        <v>Đến 30</v>
      </c>
      <c r="DM37" s="1626" t="str">
        <f t="shared" si="48"/>
        <v>--</v>
      </c>
      <c r="DN37" s="1626"/>
      <c r="DO37" s="1626"/>
      <c r="DP37" s="1626"/>
      <c r="DQ37" s="1641"/>
      <c r="DR37" s="1641"/>
      <c r="DS37" s="1665"/>
      <c r="DT37" s="1666"/>
      <c r="DU37" s="1642"/>
      <c r="DV37" s="1665"/>
      <c r="DW37" s="1637" t="s">
        <v>6</v>
      </c>
      <c r="DX37" s="1667" t="s">
        <v>416</v>
      </c>
      <c r="DY37" s="1667" t="s">
        <v>6</v>
      </c>
      <c r="DZ37" s="1667" t="s">
        <v>341</v>
      </c>
      <c r="EA37" s="1668" t="s">
        <v>359</v>
      </c>
      <c r="EB37" s="1667" t="s">
        <v>341</v>
      </c>
      <c r="EC37" s="1626" t="s">
        <v>359</v>
      </c>
      <c r="ED37" s="1637" t="s">
        <v>377</v>
      </c>
      <c r="EE37" s="1667">
        <f t="shared" si="40"/>
        <v>0</v>
      </c>
      <c r="EF37" s="1667" t="str">
        <f t="shared" si="41"/>
        <v>- - -</v>
      </c>
      <c r="EG37" s="1667" t="s">
        <v>341</v>
      </c>
      <c r="EH37" s="1668" t="s">
        <v>359</v>
      </c>
      <c r="EI37" s="1626" t="s">
        <v>341</v>
      </c>
      <c r="EJ37" s="1641" t="s">
        <v>359</v>
      </c>
      <c r="EK37" s="1663" t="s">
        <v>377</v>
      </c>
      <c r="EL37" s="1642"/>
      <c r="EM37" s="1661" t="str">
        <f t="shared" si="54"/>
        <v>- - -</v>
      </c>
      <c r="EN37" s="1661" t="str">
        <f t="shared" si="43"/>
        <v>---</v>
      </c>
    </row>
    <row r="38" spans="1:144" s="1661" customFormat="1" ht="33.75" customHeight="1" x14ac:dyDescent="0.2">
      <c r="A38" s="1626">
        <v>721</v>
      </c>
      <c r="B38" s="1627">
        <v>24</v>
      </c>
      <c r="C38" s="1626"/>
      <c r="D38" s="1626" t="str">
        <f t="shared" si="0"/>
        <v>Ông</v>
      </c>
      <c r="E38" s="1628" t="s">
        <v>279</v>
      </c>
      <c r="F38" s="1629" t="s">
        <v>378</v>
      </c>
      <c r="G38" s="1630" t="s">
        <v>373</v>
      </c>
      <c r="H38" s="1630" t="s">
        <v>359</v>
      </c>
      <c r="I38" s="1630" t="s">
        <v>347</v>
      </c>
      <c r="J38" s="599" t="s">
        <v>359</v>
      </c>
      <c r="K38" s="599" t="s">
        <v>319</v>
      </c>
      <c r="L38" s="599" t="s">
        <v>451</v>
      </c>
      <c r="M38" s="599" t="str">
        <f t="shared" si="1"/>
        <v>VC</v>
      </c>
      <c r="N38" s="599"/>
      <c r="O38" s="599" t="str">
        <f t="shared" si="2"/>
        <v>CVụ</v>
      </c>
      <c r="P38" s="599" t="s">
        <v>243</v>
      </c>
      <c r="Q38" s="1628" t="str">
        <f>VLOOKUP(P38,'[1]- DLiêu Gốc (Không sửa)'!$C$2:$H$116,2,0)</f>
        <v>0,6</v>
      </c>
      <c r="R38" s="1631" t="s">
        <v>577</v>
      </c>
      <c r="S38" s="601" t="s">
        <v>566</v>
      </c>
      <c r="T38" s="1632" t="str">
        <f>VLOOKUP(Y38,'- DLiêu Gốc -'!$C$2:$H$60,5,0)</f>
        <v>A2</v>
      </c>
      <c r="U38" s="1632" t="str">
        <f>VLOOKUP(Y38,'- DLiêu Gốc -'!$C$2:$H$60,6,0)</f>
        <v>A2.1</v>
      </c>
      <c r="V38" s="1632" t="s">
        <v>424</v>
      </c>
      <c r="W38" s="1633" t="str">
        <f t="shared" si="3"/>
        <v>Giảng viên chính (hạng II)</v>
      </c>
      <c r="X38" s="640" t="str">
        <f t="shared" si="4"/>
        <v>V.07.01.02</v>
      </c>
      <c r="Y38" s="601" t="s">
        <v>431</v>
      </c>
      <c r="Z38" s="640" t="str">
        <f>VLOOKUP(Y38,'- DLiêu Gốc -'!$C$1:$H$133,2,0)</f>
        <v>V.07.01.02</v>
      </c>
      <c r="AA38" s="640" t="str">
        <f t="shared" si="5"/>
        <v>Lương</v>
      </c>
      <c r="AB38" s="1634">
        <v>4</v>
      </c>
      <c r="AC38" s="635" t="s">
        <v>359</v>
      </c>
      <c r="AD38" s="635">
        <v>8</v>
      </c>
      <c r="AE38" s="1635">
        <f t="shared" si="6"/>
        <v>5.42</v>
      </c>
      <c r="AF38" s="1636"/>
      <c r="AG38" s="601"/>
      <c r="AH38" s="1637"/>
      <c r="AI38" s="606" t="s">
        <v>359</v>
      </c>
      <c r="AJ38" s="1669" t="s">
        <v>341</v>
      </c>
      <c r="AK38" s="1639" t="s">
        <v>359</v>
      </c>
      <c r="AL38" s="1640">
        <v>2018</v>
      </c>
      <c r="AM38" s="1641"/>
      <c r="AN38" s="1642"/>
      <c r="AO38" s="1643">
        <f t="shared" si="49"/>
        <v>5</v>
      </c>
      <c r="AP38" s="1644" t="str">
        <f t="shared" si="50"/>
        <v>/</v>
      </c>
      <c r="AQ38" s="1645">
        <f t="shared" si="51"/>
        <v>8</v>
      </c>
      <c r="AR38" s="1646">
        <f t="shared" si="52"/>
        <v>5.76</v>
      </c>
      <c r="AS38" s="601"/>
      <c r="AT38" s="1647" t="s">
        <v>341</v>
      </c>
      <c r="AU38" s="1648" t="s">
        <v>359</v>
      </c>
      <c r="AV38" s="1638" t="s">
        <v>341</v>
      </c>
      <c r="AW38" s="1645" t="s">
        <v>359</v>
      </c>
      <c r="AX38" s="1649">
        <v>2021</v>
      </c>
      <c r="AY38" s="1650"/>
      <c r="AZ38" s="1641"/>
      <c r="BA38" s="1651">
        <v>1.18</v>
      </c>
      <c r="BB38" s="1652">
        <f t="shared" si="11"/>
        <v>3</v>
      </c>
      <c r="BC38" s="1653">
        <f t="shared" si="12"/>
        <v>-24253</v>
      </c>
      <c r="BD38" s="1653">
        <f>VLOOKUP(Y38,'- DLiêu Gốc -'!$C$1:$F$60,3,0)</f>
        <v>4.4000000000000004</v>
      </c>
      <c r="BE38" s="1654">
        <f>VLOOKUP(Y38,'- DLiêu Gốc -'!$C$1:$F$60,4,0)</f>
        <v>0.34</v>
      </c>
      <c r="BF38" s="1655" t="str">
        <f t="shared" si="13"/>
        <v>PCTN</v>
      </c>
      <c r="BG38" s="1656">
        <v>28</v>
      </c>
      <c r="BH38" s="1657" t="s">
        <v>332</v>
      </c>
      <c r="BI38" s="1658" t="s">
        <v>341</v>
      </c>
      <c r="BJ38" s="1659" t="s">
        <v>359</v>
      </c>
      <c r="BK38" s="1658">
        <v>3</v>
      </c>
      <c r="BL38" s="1642" t="s">
        <v>359</v>
      </c>
      <c r="BM38" s="1565">
        <v>2019</v>
      </c>
      <c r="BN38" s="1566"/>
      <c r="BO38" s="1655"/>
      <c r="BP38" s="1656">
        <f>IF(BG38&gt;3,BG38+1,0)</f>
        <v>29</v>
      </c>
      <c r="BQ38" s="1657" t="s">
        <v>332</v>
      </c>
      <c r="BR38" s="1658" t="s">
        <v>341</v>
      </c>
      <c r="BS38" s="1659" t="s">
        <v>359</v>
      </c>
      <c r="BT38" s="1658">
        <v>3</v>
      </c>
      <c r="BU38" s="1642" t="s">
        <v>359</v>
      </c>
      <c r="BV38" s="608">
        <v>2020</v>
      </c>
      <c r="BW38" s="1641"/>
      <c r="BX38" s="1654">
        <v>3</v>
      </c>
      <c r="BY38" s="1654">
        <f t="shared" si="14"/>
        <v>-24243</v>
      </c>
      <c r="BZ38" s="1642" t="str">
        <f>IF(AND(CV38="Hưu",BG38&gt;3),12-(12*(DB38-BV38)+(DA38-BT38))-BN38,"- - -")</f>
        <v>- - -</v>
      </c>
      <c r="CA38" s="1660" t="str">
        <f t="shared" si="16"/>
        <v>Chánh Văn phòng Học viện, Trưởng Ban Tổ chức - Cán bộ, Trưởng Phân viện Học viện Hành chính Quốc gia tại Thành phố Hồ Chí Minh</v>
      </c>
      <c r="CB38" s="1652" t="str">
        <f t="shared" si="17"/>
        <v>A</v>
      </c>
      <c r="CC38" s="1652" t="str">
        <f t="shared" si="53"/>
        <v>=&gt; s</v>
      </c>
      <c r="CD38" s="1626">
        <f t="shared" si="19"/>
        <v>24277</v>
      </c>
      <c r="CE38" s="1626" t="str">
        <f t="shared" si="20"/>
        <v>---</v>
      </c>
      <c r="CG38" s="1626"/>
      <c r="CI38" s="1626"/>
      <c r="CJ38" s="1641" t="str">
        <f t="shared" si="21"/>
        <v>- - -</v>
      </c>
      <c r="CK38" s="1641" t="str">
        <f t="shared" si="22"/>
        <v>NN</v>
      </c>
      <c r="CL38" s="1626">
        <v>1</v>
      </c>
      <c r="CM38" s="1641">
        <v>2009</v>
      </c>
      <c r="CN38" s="1641"/>
      <c r="CO38" s="1641"/>
      <c r="CP38" s="1641" t="str">
        <f t="shared" si="23"/>
        <v>- - -</v>
      </c>
      <c r="CQ38" s="1626"/>
      <c r="CR38" s="1641"/>
      <c r="CS38" s="1641"/>
      <c r="CT38" s="1662"/>
      <c r="CU38" s="1574" t="str">
        <f t="shared" si="55"/>
        <v>---</v>
      </c>
      <c r="CV38" s="1661" t="str">
        <f t="shared" si="25"/>
        <v>/-/ /-/</v>
      </c>
      <c r="CW38" s="1661">
        <f t="shared" si="26"/>
        <v>8</v>
      </c>
      <c r="CX38" s="1661">
        <f t="shared" si="27"/>
        <v>2030</v>
      </c>
      <c r="CY38" s="1661">
        <f t="shared" si="28"/>
        <v>5</v>
      </c>
      <c r="CZ38" s="1661">
        <f t="shared" si="29"/>
        <v>2030</v>
      </c>
      <c r="DA38" s="1661">
        <f t="shared" si="30"/>
        <v>2</v>
      </c>
      <c r="DB38" s="1663">
        <f t="shared" si="31"/>
        <v>2030</v>
      </c>
      <c r="DC38" s="1664" t="str">
        <f t="shared" si="32"/>
        <v>- - -</v>
      </c>
      <c r="DD38" s="1664" t="str">
        <f t="shared" si="33"/>
        <v>. .</v>
      </c>
      <c r="DE38" s="1652"/>
      <c r="DF38" s="1652">
        <f t="shared" si="34"/>
        <v>720</v>
      </c>
      <c r="DG38" s="1652">
        <f t="shared" si="35"/>
        <v>-23635</v>
      </c>
      <c r="DH38" s="1652">
        <f t="shared" si="36"/>
        <v>-1970</v>
      </c>
      <c r="DI38" s="1652" t="str">
        <f t="shared" si="37"/>
        <v>Nam dưới 35</v>
      </c>
      <c r="DJ38" s="1652"/>
      <c r="DK38" s="1654"/>
      <c r="DL38" s="1641" t="str">
        <f t="shared" si="38"/>
        <v>Đến 30</v>
      </c>
      <c r="DM38" s="1626" t="str">
        <f t="shared" si="48"/>
        <v>--</v>
      </c>
      <c r="DN38" s="1626"/>
      <c r="DO38" s="1626"/>
      <c r="DP38" s="1626"/>
      <c r="DQ38" s="1641"/>
      <c r="DR38" s="1641"/>
      <c r="DS38" s="1665"/>
      <c r="DT38" s="1666"/>
      <c r="DU38" s="1642"/>
      <c r="DV38" s="1665"/>
      <c r="DW38" s="1637" t="s">
        <v>318</v>
      </c>
      <c r="DX38" s="1667" t="s">
        <v>416</v>
      </c>
      <c r="DY38" s="1667" t="s">
        <v>318</v>
      </c>
      <c r="DZ38" s="1667" t="s">
        <v>341</v>
      </c>
      <c r="EA38" s="1668" t="s">
        <v>359</v>
      </c>
      <c r="EB38" s="1667" t="s">
        <v>341</v>
      </c>
      <c r="EC38" s="1626" t="s">
        <v>359</v>
      </c>
      <c r="ED38" s="1637" t="s">
        <v>377</v>
      </c>
      <c r="EE38" s="1667">
        <f t="shared" si="40"/>
        <v>0</v>
      </c>
      <c r="EF38" s="1667" t="str">
        <f t="shared" si="41"/>
        <v>- - -</v>
      </c>
      <c r="EG38" s="1667" t="s">
        <v>341</v>
      </c>
      <c r="EH38" s="1668" t="s">
        <v>359</v>
      </c>
      <c r="EI38" s="1626" t="s">
        <v>341</v>
      </c>
      <c r="EJ38" s="1641" t="s">
        <v>359</v>
      </c>
      <c r="EK38" s="1663" t="s">
        <v>377</v>
      </c>
      <c r="EL38" s="1642">
        <v>3.99</v>
      </c>
      <c r="EM38" s="1661" t="str">
        <f t="shared" si="54"/>
        <v>- - -</v>
      </c>
      <c r="EN38" s="1661" t="str">
        <f t="shared" si="43"/>
        <v>---</v>
      </c>
    </row>
    <row r="39" spans="1:144" s="1661" customFormat="1" ht="33.75" customHeight="1" x14ac:dyDescent="0.2">
      <c r="A39" s="1626">
        <v>757</v>
      </c>
      <c r="B39" s="1627">
        <v>25</v>
      </c>
      <c r="C39" s="1626"/>
      <c r="D39" s="1626" t="str">
        <f t="shared" si="0"/>
        <v>Bà</v>
      </c>
      <c r="E39" s="1628" t="s">
        <v>290</v>
      </c>
      <c r="F39" s="1629" t="s">
        <v>380</v>
      </c>
      <c r="G39" s="1630" t="s">
        <v>274</v>
      </c>
      <c r="H39" s="1630" t="s">
        <v>359</v>
      </c>
      <c r="I39" s="1630">
        <v>5</v>
      </c>
      <c r="J39" s="599" t="s">
        <v>359</v>
      </c>
      <c r="K39" s="599">
        <v>1979</v>
      </c>
      <c r="L39" s="599" t="s">
        <v>451</v>
      </c>
      <c r="M39" s="599" t="str">
        <f t="shared" si="1"/>
        <v>VC</v>
      </c>
      <c r="N39" s="599"/>
      <c r="O39" s="599" t="str">
        <f t="shared" si="2"/>
        <v>CVụ</v>
      </c>
      <c r="P39" s="599" t="s">
        <v>250</v>
      </c>
      <c r="Q39" s="1628" t="str">
        <f>VLOOKUP(P39,'[1]- DLiêu Gốc (Không sửa)'!$C$2:$H$116,2,0)</f>
        <v>0,4</v>
      </c>
      <c r="R39" s="1631" t="s">
        <v>572</v>
      </c>
      <c r="S39" s="601" t="s">
        <v>566</v>
      </c>
      <c r="T39" s="1632" t="str">
        <f>VLOOKUP(Y39,'- DLiêu Gốc -'!$C$2:$H$60,5,0)</f>
        <v>A1</v>
      </c>
      <c r="U39" s="1632" t="str">
        <f>VLOOKUP(Y39,'- DLiêu Gốc -'!$C$2:$H$60,6,0)</f>
        <v>- - -</v>
      </c>
      <c r="V39" s="1632" t="s">
        <v>424</v>
      </c>
      <c r="W39" s="1633" t="str">
        <f t="shared" si="3"/>
        <v>Giảng viên (hạng III)</v>
      </c>
      <c r="X39" s="640" t="str">
        <f t="shared" si="4"/>
        <v>V.07.01.03</v>
      </c>
      <c r="Y39" s="601" t="s">
        <v>430</v>
      </c>
      <c r="Z39" s="640" t="str">
        <f>VLOOKUP(Y39,'- DLiêu Gốc -'!$C$1:$H$133,2,0)</f>
        <v>V.07.01.03</v>
      </c>
      <c r="AA39" s="640" t="str">
        <f t="shared" si="5"/>
        <v>Lương</v>
      </c>
      <c r="AB39" s="1634">
        <v>6</v>
      </c>
      <c r="AC39" s="635" t="s">
        <v>359</v>
      </c>
      <c r="AD39" s="635">
        <v>9</v>
      </c>
      <c r="AE39" s="1635">
        <f t="shared" si="6"/>
        <v>3.99</v>
      </c>
      <c r="AF39" s="1636"/>
      <c r="AG39" s="601"/>
      <c r="AH39" s="1637"/>
      <c r="AI39" s="606" t="s">
        <v>359</v>
      </c>
      <c r="AJ39" s="1669" t="s">
        <v>341</v>
      </c>
      <c r="AK39" s="1639" t="s">
        <v>359</v>
      </c>
      <c r="AL39" s="1640">
        <v>2018</v>
      </c>
      <c r="AM39" s="1641"/>
      <c r="AN39" s="1642"/>
      <c r="AO39" s="1643">
        <f t="shared" si="49"/>
        <v>7</v>
      </c>
      <c r="AP39" s="1644" t="str">
        <f t="shared" si="50"/>
        <v>/</v>
      </c>
      <c r="AQ39" s="1645">
        <f t="shared" si="51"/>
        <v>9</v>
      </c>
      <c r="AR39" s="1646">
        <f t="shared" si="52"/>
        <v>4.32</v>
      </c>
      <c r="AS39" s="601"/>
      <c r="AT39" s="1647" t="s">
        <v>341</v>
      </c>
      <c r="AU39" s="1648" t="s">
        <v>359</v>
      </c>
      <c r="AV39" s="1638" t="s">
        <v>341</v>
      </c>
      <c r="AW39" s="1645" t="s">
        <v>359</v>
      </c>
      <c r="AX39" s="1649">
        <v>2021</v>
      </c>
      <c r="AY39" s="1650"/>
      <c r="AZ39" s="1641"/>
      <c r="BA39" s="1651">
        <v>1.18</v>
      </c>
      <c r="BB39" s="1652">
        <f t="shared" si="11"/>
        <v>3</v>
      </c>
      <c r="BC39" s="1653">
        <f t="shared" si="12"/>
        <v>-24253</v>
      </c>
      <c r="BD39" s="1653">
        <f>VLOOKUP(Y39,'- DLiêu Gốc -'!$C$1:$F$60,3,0)</f>
        <v>2.34</v>
      </c>
      <c r="BE39" s="1654">
        <f>VLOOKUP(Y39,'- DLiêu Gốc -'!$C$1:$F$60,4,0)</f>
        <v>0.33</v>
      </c>
      <c r="BF39" s="1655" t="str">
        <f t="shared" si="13"/>
        <v>PCTN</v>
      </c>
      <c r="BG39" s="1656">
        <v>13</v>
      </c>
      <c r="BH39" s="1657" t="s">
        <v>332</v>
      </c>
      <c r="BI39" s="1658" t="s">
        <v>341</v>
      </c>
      <c r="BJ39" s="1659" t="s">
        <v>359</v>
      </c>
      <c r="BK39" s="1658" t="s">
        <v>348</v>
      </c>
      <c r="BL39" s="1642" t="s">
        <v>359</v>
      </c>
      <c r="BM39" s="1565">
        <v>2019</v>
      </c>
      <c r="BN39" s="1566"/>
      <c r="BO39" s="1655"/>
      <c r="BP39" s="1656">
        <f>IF(BG39&gt;3,BG39+1,0)</f>
        <v>14</v>
      </c>
      <c r="BQ39" s="1657" t="s">
        <v>332</v>
      </c>
      <c r="BR39" s="1658" t="s">
        <v>341</v>
      </c>
      <c r="BS39" s="1659" t="s">
        <v>359</v>
      </c>
      <c r="BT39" s="1658" t="s">
        <v>348</v>
      </c>
      <c r="BU39" s="1642" t="s">
        <v>359</v>
      </c>
      <c r="BV39" s="608">
        <v>2020</v>
      </c>
      <c r="BW39" s="1641"/>
      <c r="BX39" s="1654"/>
      <c r="BY39" s="1654">
        <f t="shared" si="14"/>
        <v>-24249</v>
      </c>
      <c r="BZ39" s="1642" t="str">
        <f>IF(AND(CV39="Hưu",BG39&gt;3),12-(12*(DB39-BV39)+(DA39-BT39))-BN39,"- - -")</f>
        <v>- - -</v>
      </c>
      <c r="CA39" s="1660" t="str">
        <f t="shared" si="16"/>
        <v>Chánh Văn phòng Học viện, Trưởng Ban Tổ chức - Cán bộ, Trưởng Phân viện Học viện Hành chính Quốc gia tại Thành phố Hồ Chí Minh</v>
      </c>
      <c r="CB39" s="1652" t="str">
        <f t="shared" si="17"/>
        <v>A</v>
      </c>
      <c r="CC39" s="1652" t="str">
        <f t="shared" si="53"/>
        <v>=&gt; s</v>
      </c>
      <c r="CD39" s="1626">
        <f t="shared" si="19"/>
        <v>24277</v>
      </c>
      <c r="CE39" s="1626" t="str">
        <f t="shared" si="20"/>
        <v>---</v>
      </c>
      <c r="CG39" s="1626"/>
      <c r="CI39" s="1626"/>
      <c r="CJ39" s="1641" t="str">
        <f t="shared" si="21"/>
        <v>- - -</v>
      </c>
      <c r="CK39" s="1641" t="str">
        <f t="shared" si="22"/>
        <v>- - -</v>
      </c>
      <c r="CL39" s="1626"/>
      <c r="CM39" s="1641"/>
      <c r="CN39" s="1641"/>
      <c r="CO39" s="1641"/>
      <c r="CP39" s="1641" t="str">
        <f t="shared" si="23"/>
        <v>CN</v>
      </c>
      <c r="CQ39" s="1626">
        <v>6</v>
      </c>
      <c r="CR39" s="1641">
        <v>2013</v>
      </c>
      <c r="CS39" s="1641"/>
      <c r="CT39" s="1662"/>
      <c r="CU39" s="1574" t="str">
        <f t="shared" si="55"/>
        <v>---</v>
      </c>
      <c r="CV39" s="1661" t="str">
        <f t="shared" si="25"/>
        <v>/-/ /-/</v>
      </c>
      <c r="CW39" s="1661">
        <f t="shared" si="26"/>
        <v>6</v>
      </c>
      <c r="CX39" s="1661">
        <f t="shared" si="27"/>
        <v>2034</v>
      </c>
      <c r="CY39" s="1661">
        <f t="shared" si="28"/>
        <v>3</v>
      </c>
      <c r="CZ39" s="1661">
        <f t="shared" si="29"/>
        <v>2034</v>
      </c>
      <c r="DA39" s="1661">
        <f t="shared" si="30"/>
        <v>12</v>
      </c>
      <c r="DB39" s="1663">
        <f t="shared" si="31"/>
        <v>2033</v>
      </c>
      <c r="DC39" s="1664" t="str">
        <f t="shared" si="32"/>
        <v>- - -</v>
      </c>
      <c r="DD39" s="1664" t="str">
        <f t="shared" si="33"/>
        <v>. .</v>
      </c>
      <c r="DE39" s="1652"/>
      <c r="DF39" s="1652">
        <f t="shared" si="34"/>
        <v>660</v>
      </c>
      <c r="DG39" s="1652">
        <f t="shared" si="35"/>
        <v>-23741</v>
      </c>
      <c r="DH39" s="1652">
        <f t="shared" si="36"/>
        <v>-1979</v>
      </c>
      <c r="DI39" s="1652" t="str">
        <f t="shared" si="37"/>
        <v>Nữ dưới 30</v>
      </c>
      <c r="DJ39" s="1652"/>
      <c r="DK39" s="1654"/>
      <c r="DL39" s="1641" t="str">
        <f t="shared" si="38"/>
        <v>Đến 30</v>
      </c>
      <c r="DM39" s="1626" t="str">
        <f t="shared" si="48"/>
        <v>--</v>
      </c>
      <c r="DN39" s="1626"/>
      <c r="DO39" s="1626" t="s">
        <v>261</v>
      </c>
      <c r="DP39" s="1626">
        <v>6</v>
      </c>
      <c r="DQ39" s="1641">
        <v>2013</v>
      </c>
      <c r="DR39" s="1641"/>
      <c r="DS39" s="1665"/>
      <c r="DT39" s="1666"/>
      <c r="DU39" s="1642"/>
      <c r="DV39" s="1665"/>
      <c r="DW39" s="1637" t="s">
        <v>63</v>
      </c>
      <c r="DX39" s="1667" t="s">
        <v>416</v>
      </c>
      <c r="DY39" s="1667" t="s">
        <v>63</v>
      </c>
      <c r="DZ39" s="1667" t="s">
        <v>341</v>
      </c>
      <c r="EA39" s="1668" t="s">
        <v>359</v>
      </c>
      <c r="EB39" s="1667" t="s">
        <v>348</v>
      </c>
      <c r="EC39" s="1626" t="s">
        <v>359</v>
      </c>
      <c r="ED39" s="1637">
        <v>2012</v>
      </c>
      <c r="EE39" s="1667">
        <f t="shared" si="40"/>
        <v>0</v>
      </c>
      <c r="EF39" s="1667" t="str">
        <f t="shared" si="41"/>
        <v>- - -</v>
      </c>
      <c r="EG39" s="1667" t="s">
        <v>341</v>
      </c>
      <c r="EH39" s="1668" t="s">
        <v>359</v>
      </c>
      <c r="EI39" s="1626" t="s">
        <v>348</v>
      </c>
      <c r="EJ39" s="1641" t="s">
        <v>359</v>
      </c>
      <c r="EK39" s="1663">
        <v>2012</v>
      </c>
      <c r="EL39" s="1642"/>
      <c r="EM39" s="1661" t="str">
        <f t="shared" si="54"/>
        <v>- - -</v>
      </c>
      <c r="EN39" s="1661" t="str">
        <f t="shared" si="43"/>
        <v>---</v>
      </c>
    </row>
    <row r="40" spans="1:144" s="1661" customFormat="1" ht="33.75" customHeight="1" x14ac:dyDescent="0.2">
      <c r="A40" s="1626">
        <v>821</v>
      </c>
      <c r="B40" s="1627">
        <v>26</v>
      </c>
      <c r="C40" s="1626"/>
      <c r="D40" s="1626" t="str">
        <f t="shared" si="0"/>
        <v>Bà</v>
      </c>
      <c r="E40" s="1628" t="s">
        <v>578</v>
      </c>
      <c r="F40" s="1629" t="s">
        <v>380</v>
      </c>
      <c r="G40" s="1630" t="s">
        <v>382</v>
      </c>
      <c r="H40" s="1630" t="s">
        <v>359</v>
      </c>
      <c r="I40" s="1630" t="s">
        <v>374</v>
      </c>
      <c r="J40" s="599" t="s">
        <v>359</v>
      </c>
      <c r="K40" s="599">
        <v>1973</v>
      </c>
      <c r="L40" s="599" t="s">
        <v>451</v>
      </c>
      <c r="M40" s="599" t="str">
        <f t="shared" si="1"/>
        <v>VC</v>
      </c>
      <c r="N40" s="599"/>
      <c r="O40" s="599" t="e">
        <f t="shared" si="2"/>
        <v>#N/A</v>
      </c>
      <c r="P40" s="599"/>
      <c r="Q40" s="1628" t="e">
        <f>VLOOKUP(P40,'[1]- DLiêu Gốc (Không sửa)'!$C$2:$H$116,2,0)</f>
        <v>#N/A</v>
      </c>
      <c r="R40" s="1631" t="s">
        <v>579</v>
      </c>
      <c r="S40" s="601" t="s">
        <v>111</v>
      </c>
      <c r="T40" s="1632" t="str">
        <f>VLOOKUP(Y40,'- DLiêu Gốc -'!$C$2:$H$60,5,0)</f>
        <v>A1</v>
      </c>
      <c r="U40" s="1632" t="str">
        <f>VLOOKUP(Y40,'- DLiêu Gốc -'!$C$2:$H$60,6,0)</f>
        <v>- - -</v>
      </c>
      <c r="V40" s="1632" t="s">
        <v>424</v>
      </c>
      <c r="W40" s="1633" t="str">
        <f t="shared" si="3"/>
        <v>Giảng viên (hạng III)</v>
      </c>
      <c r="X40" s="640" t="str">
        <f t="shared" si="4"/>
        <v>V.07.01.03</v>
      </c>
      <c r="Y40" s="601" t="s">
        <v>430</v>
      </c>
      <c r="Z40" s="640" t="str">
        <f>VLOOKUP(Y40,'- DLiêu Gốc -'!$C$1:$H$133,2,0)</f>
        <v>V.07.01.03</v>
      </c>
      <c r="AA40" s="640" t="str">
        <f t="shared" si="5"/>
        <v>Lương</v>
      </c>
      <c r="AB40" s="1634">
        <v>8</v>
      </c>
      <c r="AC40" s="635" t="str">
        <f>IF(AD40&gt;0,"/")</f>
        <v>/</v>
      </c>
      <c r="AD40" s="635">
        <f>IF(OR(BE40=0.18,BE40=0.2),12,IF(BE40=0.31,10,IF(BE40=0.33,9,IF(BE40=0.34,8,IF(BE40=0.36,6)))))</f>
        <v>9</v>
      </c>
      <c r="AE40" s="1635">
        <f t="shared" si="6"/>
        <v>4.6500000000000004</v>
      </c>
      <c r="AF40" s="1636"/>
      <c r="AG40" s="601"/>
      <c r="AH40" s="1637"/>
      <c r="AI40" s="606" t="s">
        <v>359</v>
      </c>
      <c r="AJ40" s="1669" t="s">
        <v>341</v>
      </c>
      <c r="AK40" s="1639" t="s">
        <v>359</v>
      </c>
      <c r="AL40" s="1640">
        <v>2018</v>
      </c>
      <c r="AM40" s="1641"/>
      <c r="AN40" s="1642"/>
      <c r="AO40" s="1643">
        <f>AB40+1</f>
        <v>9</v>
      </c>
      <c r="AP40" s="1644" t="str">
        <f>IF(AD40=AB40,"%",IF(AD40&gt;AB40,"/"))</f>
        <v>/</v>
      </c>
      <c r="AQ40" s="1645">
        <f>IF(AND(AD40=AB40,AO40=4),5,IF(AND(AD40=AB40,AO40&gt;4),AO40+1,IF(AD40&gt;AB40,AD40)))</f>
        <v>9</v>
      </c>
      <c r="AR40" s="1646">
        <f>IF(AD40=AB40,"%",IF(AD40&gt;AB40,AE40+BE40))</f>
        <v>4.9800000000000004</v>
      </c>
      <c r="AS40" s="601"/>
      <c r="AT40" s="1647" t="s">
        <v>341</v>
      </c>
      <c r="AU40" s="1648" t="s">
        <v>359</v>
      </c>
      <c r="AV40" s="1638" t="s">
        <v>341</v>
      </c>
      <c r="AW40" s="1645" t="s">
        <v>359</v>
      </c>
      <c r="AX40" s="1649">
        <v>2021</v>
      </c>
      <c r="AY40" s="1650"/>
      <c r="AZ40" s="1641"/>
      <c r="BA40" s="1651">
        <v>1.18</v>
      </c>
      <c r="BB40" s="1652">
        <f t="shared" si="11"/>
        <v>3</v>
      </c>
      <c r="BC40" s="1653">
        <f t="shared" si="12"/>
        <v>-24253</v>
      </c>
      <c r="BD40" s="1653">
        <f>VLOOKUP(Y40,'- DLiêu Gốc -'!$C$1:$F$60,3,0)</f>
        <v>2.34</v>
      </c>
      <c r="BE40" s="1654">
        <f>VLOOKUP(Y40,'- DLiêu Gốc -'!$C$1:$F$60,4,0)</f>
        <v>0.33</v>
      </c>
      <c r="BF40" s="1655" t="str">
        <f t="shared" si="13"/>
        <v>PCTN</v>
      </c>
      <c r="BG40" s="1656">
        <v>13</v>
      </c>
      <c r="BH40" s="1657" t="s">
        <v>332</v>
      </c>
      <c r="BI40" s="1658" t="s">
        <v>341</v>
      </c>
      <c r="BJ40" s="1659" t="s">
        <v>359</v>
      </c>
      <c r="BK40" s="1658" t="s">
        <v>370</v>
      </c>
      <c r="BL40" s="1642" t="s">
        <v>359</v>
      </c>
      <c r="BM40" s="1565">
        <v>2019</v>
      </c>
      <c r="BN40" s="1566"/>
      <c r="BO40" s="1655"/>
      <c r="BP40" s="1656">
        <f>IF(BG40&gt;3,BG40+1,0)</f>
        <v>14</v>
      </c>
      <c r="BQ40" s="1657" t="s">
        <v>332</v>
      </c>
      <c r="BR40" s="1658" t="s">
        <v>341</v>
      </c>
      <c r="BS40" s="1659" t="s">
        <v>359</v>
      </c>
      <c r="BT40" s="1658" t="s">
        <v>370</v>
      </c>
      <c r="BU40" s="1642" t="s">
        <v>359</v>
      </c>
      <c r="BV40" s="608">
        <v>2020</v>
      </c>
      <c r="BW40" s="1641" t="s">
        <v>607</v>
      </c>
      <c r="BX40" s="1654"/>
      <c r="BY40" s="1654">
        <f t="shared" si="14"/>
        <v>-24250</v>
      </c>
      <c r="BZ40" s="1642" t="str">
        <f>IF(AND(CV40="Hưu",BG40&gt;3),12-(12*(DB40-BV40)+(DA40-BT40))-BN40,"- - -")</f>
        <v>- - -</v>
      </c>
      <c r="CA40" s="1660" t="str">
        <f t="shared" si="16"/>
        <v>Chánh Văn phòng Học viện, Trưởng Ban Tổ chức - Cán bộ, Trưởng Khoa Quản lý nhà nước về Xã hội</v>
      </c>
      <c r="CB40" s="1652" t="str">
        <f t="shared" si="17"/>
        <v>A</v>
      </c>
      <c r="CC40" s="1652" t="str">
        <f>IF(AND(AO40&gt;0,AB40&lt;(AD40-1),CD40&gt;0,CD40&lt;13,OR(AND(CJ40="Cùg Ng",($CC$2-CF40)&gt;BB40),CJ40="- - -")),"Sớm TT","=&gt; s")</f>
        <v>=&gt; s</v>
      </c>
      <c r="CD40" s="1626">
        <f t="shared" si="19"/>
        <v>24277</v>
      </c>
      <c r="CE40" s="1626" t="str">
        <f t="shared" si="20"/>
        <v>---</v>
      </c>
      <c r="CG40" s="1626"/>
      <c r="CI40" s="1626"/>
      <c r="CJ40" s="1641" t="str">
        <f t="shared" si="21"/>
        <v>- - -</v>
      </c>
      <c r="CK40" s="1641" t="str">
        <f t="shared" si="22"/>
        <v>- - -</v>
      </c>
      <c r="CL40" s="1626"/>
      <c r="CM40" s="1641"/>
      <c r="CN40" s="1641"/>
      <c r="CO40" s="1641"/>
      <c r="CP40" s="1641" t="str">
        <f t="shared" si="23"/>
        <v>CN</v>
      </c>
      <c r="CQ40" s="1626">
        <v>6</v>
      </c>
      <c r="CR40" s="1641">
        <v>2013</v>
      </c>
      <c r="CS40" s="1641"/>
      <c r="CT40" s="1662"/>
      <c r="CU40" s="1574" t="str">
        <f t="shared" si="55"/>
        <v>---</v>
      </c>
      <c r="CV40" s="1661" t="str">
        <f t="shared" si="25"/>
        <v>/-/ /-/</v>
      </c>
      <c r="CW40" s="1661">
        <f t="shared" si="26"/>
        <v>2</v>
      </c>
      <c r="CX40" s="1661">
        <f t="shared" si="27"/>
        <v>2028</v>
      </c>
      <c r="CY40" s="1661">
        <f t="shared" si="28"/>
        <v>11</v>
      </c>
      <c r="CZ40" s="1661">
        <f t="shared" si="29"/>
        <v>2027</v>
      </c>
      <c r="DA40" s="1661">
        <f t="shared" si="30"/>
        <v>8</v>
      </c>
      <c r="DB40" s="1663">
        <f t="shared" si="31"/>
        <v>2027</v>
      </c>
      <c r="DC40" s="1664" t="str">
        <f t="shared" si="32"/>
        <v>- - -</v>
      </c>
      <c r="DD40" s="1664" t="str">
        <f t="shared" si="33"/>
        <v>. .</v>
      </c>
      <c r="DE40" s="1652"/>
      <c r="DF40" s="1652">
        <f t="shared" si="34"/>
        <v>660</v>
      </c>
      <c r="DG40" s="1652">
        <f t="shared" si="35"/>
        <v>-23665</v>
      </c>
      <c r="DH40" s="1652">
        <f t="shared" si="36"/>
        <v>-1973</v>
      </c>
      <c r="DI40" s="1652" t="str">
        <f t="shared" si="37"/>
        <v>Nữ dưới 30</v>
      </c>
      <c r="DJ40" s="1652"/>
      <c r="DK40" s="1654"/>
      <c r="DL40" s="1641" t="str">
        <f t="shared" si="38"/>
        <v>Đến 30</v>
      </c>
      <c r="DM40" s="1626" t="str">
        <f t="shared" si="48"/>
        <v>--</v>
      </c>
      <c r="DN40" s="1626"/>
      <c r="DO40" s="1626" t="s">
        <v>261</v>
      </c>
      <c r="DP40" s="1626">
        <v>6</v>
      </c>
      <c r="DQ40" s="1641">
        <v>2013</v>
      </c>
      <c r="DR40" s="1641"/>
      <c r="DS40" s="1665"/>
      <c r="DT40" s="1666"/>
      <c r="DU40" s="1642"/>
      <c r="DV40" s="1665"/>
      <c r="DW40" s="1637" t="s">
        <v>63</v>
      </c>
      <c r="DX40" s="1667" t="s">
        <v>416</v>
      </c>
      <c r="DY40" s="1667" t="s">
        <v>63</v>
      </c>
      <c r="DZ40" s="1667" t="s">
        <v>341</v>
      </c>
      <c r="EA40" s="1668" t="s">
        <v>359</v>
      </c>
      <c r="EB40" s="1667" t="s">
        <v>348</v>
      </c>
      <c r="EC40" s="1626" t="s">
        <v>359</v>
      </c>
      <c r="ED40" s="1637">
        <v>2012</v>
      </c>
      <c r="EE40" s="1667">
        <f t="shared" si="40"/>
        <v>0</v>
      </c>
      <c r="EF40" s="1667" t="str">
        <f t="shared" si="41"/>
        <v>- - -</v>
      </c>
      <c r="EG40" s="1667" t="s">
        <v>341</v>
      </c>
      <c r="EH40" s="1668" t="s">
        <v>359</v>
      </c>
      <c r="EI40" s="1626" t="s">
        <v>348</v>
      </c>
      <c r="EJ40" s="1641" t="s">
        <v>359</v>
      </c>
      <c r="EK40" s="1663">
        <v>2012</v>
      </c>
      <c r="EL40" s="1642"/>
      <c r="EM40" s="1661" t="str">
        <f>IF(AND(BE40&gt;0.34,AO40=1,OR(BD40=6.2,BD40=5.75)),((BD40-EL40)-2*0.34),IF(AND(BE40&gt;0.33,AO40=1,OR(BD40=4.4,BD40=4)),((BD40-EL40)-2*0.33),"- - -"))</f>
        <v>- - -</v>
      </c>
      <c r="EN40" s="1661" t="str">
        <f t="shared" si="43"/>
        <v>---</v>
      </c>
    </row>
    <row r="41" spans="1:144" s="1687" customFormat="1" ht="33.75" customHeight="1" x14ac:dyDescent="0.2">
      <c r="A41" s="1670"/>
      <c r="B41" s="1565" t="s">
        <v>631</v>
      </c>
      <c r="C41" s="1565"/>
      <c r="D41" s="1566"/>
      <c r="E41" s="1566" t="s">
        <v>632</v>
      </c>
      <c r="F41" s="1567"/>
      <c r="G41" s="1568"/>
      <c r="H41" s="1568"/>
      <c r="I41" s="1568"/>
      <c r="J41" s="1569"/>
      <c r="K41" s="1569"/>
      <c r="L41" s="1569"/>
      <c r="M41" s="1569"/>
      <c r="N41" s="1569"/>
      <c r="O41" s="1569"/>
      <c r="P41" s="1569"/>
      <c r="Q41" s="1566"/>
      <c r="R41" s="1570"/>
      <c r="S41" s="1571"/>
      <c r="T41" s="1671" t="s">
        <v>94</v>
      </c>
      <c r="U41" s="1671" t="s">
        <v>205</v>
      </c>
      <c r="V41" s="1672" t="s">
        <v>425</v>
      </c>
      <c r="W41" s="1673"/>
      <c r="X41" s="1674"/>
      <c r="Y41" s="1576"/>
      <c r="Z41" s="1577"/>
      <c r="AA41" s="1578"/>
      <c r="AB41" s="1579"/>
      <c r="AC41" s="1580"/>
      <c r="AD41" s="1581"/>
      <c r="AE41" s="1582"/>
      <c r="AF41" s="1583"/>
      <c r="AG41" s="1581"/>
      <c r="AH41" s="1584"/>
      <c r="AI41" s="1585"/>
      <c r="AJ41" s="1586"/>
      <c r="AK41" s="1587"/>
      <c r="AL41" s="1588"/>
      <c r="AM41" s="1589"/>
      <c r="AN41" s="1590"/>
      <c r="AO41" s="1591"/>
      <c r="AP41" s="1592"/>
      <c r="AQ41" s="1593"/>
      <c r="AR41" s="1583"/>
      <c r="AS41" s="1581"/>
      <c r="AT41" s="1675"/>
      <c r="AU41" s="1676"/>
      <c r="AV41" s="1586"/>
      <c r="AW41" s="1597"/>
      <c r="AX41" s="1598"/>
      <c r="AY41" s="1651"/>
      <c r="AZ41" s="1677"/>
      <c r="BA41" s="606"/>
      <c r="BB41" s="1678"/>
      <c r="BC41" s="1641"/>
      <c r="BD41" s="1679"/>
      <c r="BE41" s="1679"/>
      <c r="BF41" s="1652"/>
      <c r="BG41" s="1654"/>
      <c r="BH41" s="1653"/>
      <c r="BI41" s="1680"/>
      <c r="BJ41" s="607"/>
      <c r="BK41" s="1679"/>
      <c r="BL41" s="1681"/>
      <c r="BM41" s="1682"/>
      <c r="BN41" s="1661"/>
      <c r="BO41" s="1661"/>
      <c r="BP41" s="1661"/>
      <c r="BQ41" s="1661"/>
      <c r="BR41" s="1683"/>
      <c r="BS41" s="607"/>
      <c r="BT41" s="1684"/>
      <c r="BU41" s="607"/>
      <c r="BV41" s="1652"/>
      <c r="BW41" s="1654"/>
      <c r="BX41" s="1641"/>
      <c r="BY41" s="1665"/>
      <c r="BZ41" s="700"/>
      <c r="CA41" s="1670"/>
      <c r="CB41" s="1685"/>
      <c r="CC41" s="1685"/>
      <c r="CD41" s="1670"/>
      <c r="CE41" s="1686"/>
      <c r="CF41" s="1670"/>
      <c r="CG41" s="1670"/>
      <c r="CX41" s="1688"/>
      <c r="CY41" s="1689"/>
      <c r="CZ41" s="698"/>
      <c r="DA41" s="1670"/>
      <c r="DB41" s="699"/>
      <c r="DC41" s="699"/>
      <c r="DD41" s="699"/>
      <c r="DE41" s="699"/>
      <c r="DF41" s="1690"/>
      <c r="DG41" s="1691"/>
      <c r="DH41" s="1691"/>
      <c r="DI41" s="699"/>
      <c r="DJ41" s="1692"/>
      <c r="DK41" s="1691"/>
      <c r="DL41" s="706"/>
      <c r="DM41" s="706"/>
    </row>
    <row r="42" spans="1:144" s="1661" customFormat="1" ht="33.75" customHeight="1" x14ac:dyDescent="0.2">
      <c r="A42" s="1626">
        <v>322</v>
      </c>
      <c r="B42" s="1627">
        <v>27</v>
      </c>
      <c r="C42" s="1626"/>
      <c r="D42" s="1626" t="s">
        <v>133</v>
      </c>
      <c r="E42" s="1628" t="s">
        <v>281</v>
      </c>
      <c r="F42" s="1629" t="s">
        <v>378</v>
      </c>
      <c r="G42" s="1630" t="s">
        <v>342</v>
      </c>
      <c r="H42" s="1630" t="s">
        <v>359</v>
      </c>
      <c r="I42" s="1630">
        <v>5</v>
      </c>
      <c r="J42" s="599" t="s">
        <v>359</v>
      </c>
      <c r="K42" s="599">
        <v>1971</v>
      </c>
      <c r="L42" s="599" t="s">
        <v>451</v>
      </c>
      <c r="M42" s="599" t="s">
        <v>455</v>
      </c>
      <c r="N42" s="599"/>
      <c r="O42" s="599" t="s">
        <v>93</v>
      </c>
      <c r="P42" s="599" t="s">
        <v>580</v>
      </c>
      <c r="Q42" s="1628">
        <v>0.4</v>
      </c>
      <c r="R42" s="1631" t="s">
        <v>593</v>
      </c>
      <c r="S42" s="601" t="s">
        <v>567</v>
      </c>
      <c r="T42" s="1632" t="s">
        <v>94</v>
      </c>
      <c r="U42" s="1632" t="s">
        <v>205</v>
      </c>
      <c r="V42" s="1632" t="s">
        <v>425</v>
      </c>
      <c r="W42" s="1633" t="s">
        <v>339</v>
      </c>
      <c r="X42" s="640" t="s">
        <v>157</v>
      </c>
      <c r="Y42" s="601" t="s">
        <v>339</v>
      </c>
      <c r="Z42" s="640" t="s">
        <v>157</v>
      </c>
      <c r="AA42" s="640" t="s">
        <v>410</v>
      </c>
      <c r="AB42" s="1634">
        <v>9</v>
      </c>
      <c r="AC42" s="635" t="s">
        <v>359</v>
      </c>
      <c r="AD42" s="635">
        <v>9</v>
      </c>
      <c r="AE42" s="1635">
        <v>4.9800000000000004</v>
      </c>
      <c r="AF42" s="1636"/>
      <c r="AG42" s="601"/>
      <c r="AH42" s="1637"/>
      <c r="AI42" s="606"/>
      <c r="AJ42" s="1669" t="s">
        <v>341</v>
      </c>
      <c r="AK42" s="1639" t="s">
        <v>359</v>
      </c>
      <c r="AL42" s="1640">
        <v>2018</v>
      </c>
      <c r="AM42" s="1641"/>
      <c r="AN42" s="1642"/>
      <c r="AO42" s="1643"/>
      <c r="AP42" s="1644"/>
      <c r="AQ42" s="1645"/>
      <c r="AR42" s="1693">
        <v>5</v>
      </c>
      <c r="AS42" s="601" t="s">
        <v>332</v>
      </c>
      <c r="AT42" s="1647" t="s">
        <v>341</v>
      </c>
      <c r="AU42" s="1648" t="s">
        <v>359</v>
      </c>
      <c r="AV42" s="1638" t="s">
        <v>341</v>
      </c>
      <c r="AW42" s="1645" t="s">
        <v>359</v>
      </c>
      <c r="AX42" s="1649">
        <v>2021</v>
      </c>
      <c r="AY42" s="1650"/>
      <c r="AZ42" s="1641"/>
      <c r="BA42" s="1651">
        <v>1.18</v>
      </c>
      <c r="BB42" s="1652">
        <v>1</v>
      </c>
      <c r="BC42" s="1653">
        <v>-24253</v>
      </c>
      <c r="BD42" s="1653">
        <v>2.34</v>
      </c>
      <c r="BE42" s="1654">
        <v>0.33</v>
      </c>
      <c r="BF42" s="1655" t="s">
        <v>412</v>
      </c>
      <c r="BG42" s="1656"/>
      <c r="BH42" s="1657"/>
      <c r="BI42" s="1658"/>
      <c r="BJ42" s="1659"/>
      <c r="BK42" s="1658"/>
      <c r="BL42" s="1642"/>
      <c r="BM42" s="1565"/>
      <c r="BN42" s="1566"/>
      <c r="BO42" s="1655"/>
      <c r="BP42" s="1656"/>
      <c r="BQ42" s="1657"/>
      <c r="BR42" s="1658"/>
      <c r="BS42" s="1659"/>
      <c r="BT42" s="1658"/>
      <c r="BU42" s="1642"/>
      <c r="BV42" s="608"/>
      <c r="BW42" s="1641"/>
      <c r="BX42" s="1654"/>
      <c r="BY42" s="1654" t="s">
        <v>205</v>
      </c>
      <c r="BZ42" s="1642" t="s">
        <v>205</v>
      </c>
      <c r="CA42" s="1660" t="s">
        <v>645</v>
      </c>
      <c r="CB42" s="1652" t="s">
        <v>360</v>
      </c>
      <c r="CC42" s="1652" t="s">
        <v>263</v>
      </c>
      <c r="CD42" s="1626" t="s">
        <v>105</v>
      </c>
      <c r="CE42" s="1626" t="s">
        <v>105</v>
      </c>
      <c r="CG42" s="1626"/>
      <c r="CI42" s="1626"/>
      <c r="CJ42" s="1641" t="s">
        <v>205</v>
      </c>
      <c r="CK42" s="1641" t="s">
        <v>205</v>
      </c>
      <c r="CL42" s="1626"/>
      <c r="CM42" s="1641"/>
      <c r="CN42" s="1641"/>
      <c r="CO42" s="1641"/>
      <c r="CP42" s="1641" t="s">
        <v>205</v>
      </c>
      <c r="CQ42" s="1626"/>
      <c r="CR42" s="1641"/>
      <c r="CS42" s="1641"/>
      <c r="CT42" s="1662"/>
      <c r="CU42" s="1574" t="s">
        <v>105</v>
      </c>
      <c r="CV42" s="1661" t="s">
        <v>45</v>
      </c>
      <c r="CW42" s="1661">
        <v>6</v>
      </c>
      <c r="CX42" s="1661">
        <v>2031</v>
      </c>
      <c r="CY42" s="1661">
        <v>3</v>
      </c>
      <c r="CZ42" s="1661">
        <v>2031</v>
      </c>
      <c r="DA42" s="1661">
        <v>12</v>
      </c>
      <c r="DB42" s="1663">
        <v>2030</v>
      </c>
      <c r="DC42" s="1664" t="s">
        <v>205</v>
      </c>
      <c r="DD42" s="1664" t="s">
        <v>195</v>
      </c>
      <c r="DE42" s="1652"/>
      <c r="DF42" s="1652">
        <v>720</v>
      </c>
      <c r="DG42" s="1652">
        <v>-23645</v>
      </c>
      <c r="DH42" s="1652">
        <v>-1971</v>
      </c>
      <c r="DI42" s="1652" t="s">
        <v>404</v>
      </c>
      <c r="DJ42" s="1652"/>
      <c r="DK42" s="1654"/>
      <c r="DL42" s="1641" t="s">
        <v>196</v>
      </c>
      <c r="DM42" s="1626" t="s">
        <v>208</v>
      </c>
      <c r="DN42" s="1626"/>
      <c r="DO42" s="1626"/>
      <c r="DP42" s="1626"/>
      <c r="DQ42" s="1641"/>
      <c r="DR42" s="1641"/>
      <c r="DS42" s="1665"/>
      <c r="DT42" s="1666"/>
      <c r="DU42" s="1642"/>
      <c r="DV42" s="1665"/>
      <c r="DW42" s="1637" t="s">
        <v>488</v>
      </c>
      <c r="DX42" s="1667" t="s">
        <v>126</v>
      </c>
      <c r="DY42" s="1667"/>
      <c r="DZ42" s="1667" t="s">
        <v>341</v>
      </c>
      <c r="EA42" s="1668" t="s">
        <v>359</v>
      </c>
      <c r="EB42" s="1667" t="s">
        <v>341</v>
      </c>
      <c r="EC42" s="1626" t="s">
        <v>359</v>
      </c>
      <c r="ED42" s="1637" t="s">
        <v>377</v>
      </c>
      <c r="EE42" s="1667">
        <v>0</v>
      </c>
      <c r="EF42" s="1667" t="s">
        <v>205</v>
      </c>
      <c r="EG42" s="1667" t="s">
        <v>341</v>
      </c>
      <c r="EH42" s="1668" t="s">
        <v>359</v>
      </c>
      <c r="EI42" s="1626" t="s">
        <v>341</v>
      </c>
      <c r="EJ42" s="1641" t="s">
        <v>359</v>
      </c>
      <c r="EK42" s="1663" t="s">
        <v>377</v>
      </c>
      <c r="EL42" s="1642"/>
      <c r="EM42" s="1661" t="s">
        <v>205</v>
      </c>
      <c r="EN42" s="1661" t="s">
        <v>105</v>
      </c>
    </row>
    <row r="43" spans="1:144" s="1661" customFormat="1" ht="33.75" customHeight="1" x14ac:dyDescent="0.2">
      <c r="A43" s="1626">
        <v>477</v>
      </c>
      <c r="B43" s="1627">
        <v>28</v>
      </c>
      <c r="C43" s="1626"/>
      <c r="D43" s="1626" t="s">
        <v>133</v>
      </c>
      <c r="E43" s="1628" t="s">
        <v>56</v>
      </c>
      <c r="F43" s="1629" t="s">
        <v>378</v>
      </c>
      <c r="G43" s="1630" t="s">
        <v>272</v>
      </c>
      <c r="H43" s="1630" t="s">
        <v>359</v>
      </c>
      <c r="I43" s="1630" t="s">
        <v>346</v>
      </c>
      <c r="J43" s="599" t="s">
        <v>359</v>
      </c>
      <c r="K43" s="599" t="s">
        <v>338</v>
      </c>
      <c r="L43" s="599" t="s">
        <v>451</v>
      </c>
      <c r="M43" s="599" t="s">
        <v>455</v>
      </c>
      <c r="N43" s="599"/>
      <c r="O43" s="599" t="s">
        <v>93</v>
      </c>
      <c r="P43" s="599" t="s">
        <v>487</v>
      </c>
      <c r="Q43" s="1628" t="s">
        <v>248</v>
      </c>
      <c r="R43" s="1631" t="s">
        <v>375</v>
      </c>
      <c r="S43" s="601" t="s">
        <v>419</v>
      </c>
      <c r="T43" s="1632" t="s">
        <v>294</v>
      </c>
      <c r="U43" s="1632" t="s">
        <v>295</v>
      </c>
      <c r="V43" s="1632" t="s">
        <v>425</v>
      </c>
      <c r="W43" s="1633" t="s">
        <v>295</v>
      </c>
      <c r="X43" s="640" t="s">
        <v>189</v>
      </c>
      <c r="Y43" s="601" t="s">
        <v>354</v>
      </c>
      <c r="Z43" s="640" t="s">
        <v>182</v>
      </c>
      <c r="AA43" s="640" t="s">
        <v>410</v>
      </c>
      <c r="AB43" s="1634">
        <v>12</v>
      </c>
      <c r="AC43" s="635" t="s">
        <v>359</v>
      </c>
      <c r="AD43" s="635">
        <v>12</v>
      </c>
      <c r="AE43" s="1635">
        <v>4.0299999999999994</v>
      </c>
      <c r="AF43" s="1636">
        <v>8</v>
      </c>
      <c r="AG43" s="601" t="s">
        <v>332</v>
      </c>
      <c r="AH43" s="1637"/>
      <c r="AI43" s="606"/>
      <c r="AJ43" s="1669" t="s">
        <v>341</v>
      </c>
      <c r="AK43" s="1639" t="s">
        <v>359</v>
      </c>
      <c r="AL43" s="1640">
        <v>2019</v>
      </c>
      <c r="AM43" s="1641"/>
      <c r="AN43" s="1642"/>
      <c r="AO43" s="1643"/>
      <c r="AP43" s="1644"/>
      <c r="AQ43" s="1645"/>
      <c r="AR43" s="1693">
        <v>9</v>
      </c>
      <c r="AS43" s="601" t="s">
        <v>332</v>
      </c>
      <c r="AT43" s="1647" t="s">
        <v>341</v>
      </c>
      <c r="AU43" s="1648" t="s">
        <v>359</v>
      </c>
      <c r="AV43" s="1638" t="s">
        <v>341</v>
      </c>
      <c r="AW43" s="1645" t="s">
        <v>359</v>
      </c>
      <c r="AX43" s="1649">
        <v>2021</v>
      </c>
      <c r="AY43" s="1650"/>
      <c r="AZ43" s="1641"/>
      <c r="BA43" s="1651">
        <v>1.18</v>
      </c>
      <c r="BB43" s="1652">
        <v>1</v>
      </c>
      <c r="BC43" s="1653">
        <v>-24253</v>
      </c>
      <c r="BD43" s="1653">
        <v>2.0499999999999998</v>
      </c>
      <c r="BE43" s="1654">
        <v>0.18</v>
      </c>
      <c r="BF43" s="1655" t="s">
        <v>412</v>
      </c>
      <c r="BG43" s="1656"/>
      <c r="BH43" s="1657"/>
      <c r="BI43" s="1658"/>
      <c r="BJ43" s="1659"/>
      <c r="BK43" s="1658"/>
      <c r="BL43" s="1642"/>
      <c r="BM43" s="1565"/>
      <c r="BN43" s="1566"/>
      <c r="BO43" s="1655"/>
      <c r="BP43" s="1656"/>
      <c r="BQ43" s="1657"/>
      <c r="BR43" s="1658"/>
      <c r="BS43" s="1659"/>
      <c r="BT43" s="1658"/>
      <c r="BU43" s="1642"/>
      <c r="BV43" s="608"/>
      <c r="BW43" s="1641"/>
      <c r="BX43" s="1654"/>
      <c r="BY43" s="1654" t="s">
        <v>205</v>
      </c>
      <c r="BZ43" s="1642" t="s">
        <v>205</v>
      </c>
      <c r="CA43" s="1660" t="s">
        <v>585</v>
      </c>
      <c r="CB43" s="1652" t="s">
        <v>360</v>
      </c>
      <c r="CC43" s="1652" t="s">
        <v>263</v>
      </c>
      <c r="CD43" s="1626" t="s">
        <v>105</v>
      </c>
      <c r="CE43" s="1626" t="s">
        <v>105</v>
      </c>
      <c r="CG43" s="1626"/>
      <c r="CI43" s="1626"/>
      <c r="CJ43" s="1641" t="s">
        <v>205</v>
      </c>
      <c r="CK43" s="1641" t="s">
        <v>205</v>
      </c>
      <c r="CL43" s="1626"/>
      <c r="CM43" s="1641"/>
      <c r="CN43" s="1641"/>
      <c r="CO43" s="1641"/>
      <c r="CP43" s="1641" t="s">
        <v>205</v>
      </c>
      <c r="CQ43" s="1626"/>
      <c r="CR43" s="1641"/>
      <c r="CS43" s="1641"/>
      <c r="CT43" s="1662"/>
      <c r="CU43" s="1574" t="s">
        <v>105</v>
      </c>
      <c r="CV43" s="1661" t="s">
        <v>45</v>
      </c>
      <c r="CW43" s="1661">
        <v>4</v>
      </c>
      <c r="CX43" s="1661">
        <v>2031</v>
      </c>
      <c r="CY43" s="1661">
        <v>1</v>
      </c>
      <c r="CZ43" s="1661">
        <v>2031</v>
      </c>
      <c r="DA43" s="1661">
        <v>10</v>
      </c>
      <c r="DB43" s="1663">
        <v>2030</v>
      </c>
      <c r="DC43" s="1664" t="s">
        <v>205</v>
      </c>
      <c r="DD43" s="1664" t="s">
        <v>195</v>
      </c>
      <c r="DE43" s="1652"/>
      <c r="DF43" s="1652">
        <v>720</v>
      </c>
      <c r="DG43" s="1652">
        <v>-23643</v>
      </c>
      <c r="DH43" s="1652">
        <v>-1971</v>
      </c>
      <c r="DI43" s="1652" t="s">
        <v>404</v>
      </c>
      <c r="DJ43" s="1652"/>
      <c r="DK43" s="1654"/>
      <c r="DL43" s="1641" t="s">
        <v>196</v>
      </c>
      <c r="DM43" s="1626" t="s">
        <v>208</v>
      </c>
      <c r="DN43" s="1626"/>
      <c r="DO43" s="1626"/>
      <c r="DP43" s="1626"/>
      <c r="DQ43" s="1641"/>
      <c r="DR43" s="1641"/>
      <c r="DS43" s="1665"/>
      <c r="DT43" s="1666"/>
      <c r="DU43" s="1642"/>
      <c r="DV43" s="1665"/>
      <c r="DW43" s="1637" t="s">
        <v>375</v>
      </c>
      <c r="DX43" s="1667" t="s">
        <v>419</v>
      </c>
      <c r="DY43" s="1667" t="s">
        <v>375</v>
      </c>
      <c r="DZ43" s="1667" t="s">
        <v>341</v>
      </c>
      <c r="EA43" s="1668" t="s">
        <v>359</v>
      </c>
      <c r="EB43" s="1667" t="s">
        <v>341</v>
      </c>
      <c r="EC43" s="1626" t="s">
        <v>359</v>
      </c>
      <c r="ED43" s="1637">
        <v>2013</v>
      </c>
      <c r="EE43" s="1667">
        <v>0</v>
      </c>
      <c r="EF43" s="1667" t="s">
        <v>205</v>
      </c>
      <c r="EG43" s="1667" t="s">
        <v>341</v>
      </c>
      <c r="EH43" s="1668" t="s">
        <v>359</v>
      </c>
      <c r="EI43" s="1626" t="s">
        <v>341</v>
      </c>
      <c r="EJ43" s="1641" t="s">
        <v>359</v>
      </c>
      <c r="EK43" s="1663">
        <v>2013</v>
      </c>
      <c r="EL43" s="1642"/>
      <c r="EM43" s="1661" t="s">
        <v>205</v>
      </c>
      <c r="EN43" s="1661" t="s">
        <v>105</v>
      </c>
    </row>
    <row r="44" spans="1:144" s="1661" customFormat="1" ht="33.75" customHeight="1" x14ac:dyDescent="0.2">
      <c r="A44" s="1626">
        <v>535</v>
      </c>
      <c r="B44" s="1627">
        <v>29</v>
      </c>
      <c r="C44" s="1626"/>
      <c r="D44" s="1626" t="s">
        <v>134</v>
      </c>
      <c r="E44" s="1628" t="s">
        <v>60</v>
      </c>
      <c r="F44" s="1629" t="s">
        <v>380</v>
      </c>
      <c r="G44" s="1630" t="s">
        <v>266</v>
      </c>
      <c r="H44" s="1630" t="s">
        <v>359</v>
      </c>
      <c r="I44" s="1630" t="s">
        <v>349</v>
      </c>
      <c r="J44" s="599" t="s">
        <v>359</v>
      </c>
      <c r="K44" s="599">
        <v>1967</v>
      </c>
      <c r="L44" s="599" t="s">
        <v>434</v>
      </c>
      <c r="M44" s="599" t="s">
        <v>584</v>
      </c>
      <c r="N44" s="599" t="s">
        <v>331</v>
      </c>
      <c r="O44" s="599" t="e">
        <v>#N/A</v>
      </c>
      <c r="P44" s="599"/>
      <c r="Q44" s="1628" t="e">
        <v>#N/A</v>
      </c>
      <c r="R44" s="1631" t="s">
        <v>368</v>
      </c>
      <c r="S44" s="601" t="s">
        <v>419</v>
      </c>
      <c r="T44" s="1632" t="s">
        <v>300</v>
      </c>
      <c r="U44" s="1632" t="s">
        <v>205</v>
      </c>
      <c r="V44" s="1632" t="s">
        <v>425</v>
      </c>
      <c r="W44" s="1633" t="s">
        <v>521</v>
      </c>
      <c r="X44" s="640" t="s">
        <v>519</v>
      </c>
      <c r="Y44" s="601" t="s">
        <v>521</v>
      </c>
      <c r="Z44" s="640" t="s">
        <v>519</v>
      </c>
      <c r="AA44" s="640" t="s">
        <v>410</v>
      </c>
      <c r="AB44" s="1634">
        <v>12</v>
      </c>
      <c r="AC44" s="635" t="s">
        <v>359</v>
      </c>
      <c r="AD44" s="635">
        <v>12</v>
      </c>
      <c r="AE44" s="1635">
        <v>4.0600000000000005</v>
      </c>
      <c r="AF44" s="1636">
        <v>7</v>
      </c>
      <c r="AG44" s="601" t="s">
        <v>332</v>
      </c>
      <c r="AH44" s="1637"/>
      <c r="AI44" s="606"/>
      <c r="AJ44" s="1669" t="s">
        <v>341</v>
      </c>
      <c r="AK44" s="1639" t="s">
        <v>359</v>
      </c>
      <c r="AL44" s="1640">
        <v>2019</v>
      </c>
      <c r="AM44" s="1641"/>
      <c r="AN44" s="1642"/>
      <c r="AO44" s="1643"/>
      <c r="AP44" s="1644"/>
      <c r="AQ44" s="1645"/>
      <c r="AR44" s="1693">
        <v>8</v>
      </c>
      <c r="AS44" s="601" t="s">
        <v>332</v>
      </c>
      <c r="AT44" s="1647" t="s">
        <v>341</v>
      </c>
      <c r="AU44" s="1648" t="s">
        <v>359</v>
      </c>
      <c r="AV44" s="1638" t="s">
        <v>341</v>
      </c>
      <c r="AW44" s="1645" t="s">
        <v>359</v>
      </c>
      <c r="AX44" s="1649">
        <v>2021</v>
      </c>
      <c r="AY44" s="1650"/>
      <c r="AZ44" s="1641"/>
      <c r="BA44" s="1651">
        <v>1.18</v>
      </c>
      <c r="BB44" s="1652">
        <v>1</v>
      </c>
      <c r="BC44" s="1653">
        <v>-24253</v>
      </c>
      <c r="BD44" s="1653">
        <v>1.86</v>
      </c>
      <c r="BE44" s="1654">
        <v>0.2</v>
      </c>
      <c r="BF44" s="1655" t="s">
        <v>412</v>
      </c>
      <c r="BG44" s="1656"/>
      <c r="BH44" s="1657"/>
      <c r="BI44" s="1658"/>
      <c r="BJ44" s="1659"/>
      <c r="BK44" s="1658"/>
      <c r="BL44" s="1642"/>
      <c r="BM44" s="1565"/>
      <c r="BN44" s="1566"/>
      <c r="BO44" s="1655"/>
      <c r="BP44" s="1656"/>
      <c r="BQ44" s="1657"/>
      <c r="BR44" s="1658"/>
      <c r="BS44" s="1659"/>
      <c r="BT44" s="1658"/>
      <c r="BU44" s="1642"/>
      <c r="BV44" s="608"/>
      <c r="BW44" s="1641"/>
      <c r="BX44" s="1654"/>
      <c r="BY44" s="1654" t="s">
        <v>205</v>
      </c>
      <c r="BZ44" s="1642" t="s">
        <v>205</v>
      </c>
      <c r="CA44" s="1660" t="s">
        <v>585</v>
      </c>
      <c r="CB44" s="1652" t="s">
        <v>360</v>
      </c>
      <c r="CC44" s="1652" t="s">
        <v>263</v>
      </c>
      <c r="CD44" s="1626" t="s">
        <v>105</v>
      </c>
      <c r="CE44" s="1626" t="s">
        <v>298</v>
      </c>
      <c r="CF44" s="1661">
        <v>2012</v>
      </c>
      <c r="CG44" s="1626" t="s">
        <v>171</v>
      </c>
      <c r="CI44" s="1626"/>
      <c r="CJ44" s="1641" t="s">
        <v>205</v>
      </c>
      <c r="CK44" s="1641" t="s">
        <v>205</v>
      </c>
      <c r="CL44" s="1626"/>
      <c r="CM44" s="1641"/>
      <c r="CN44" s="1641"/>
      <c r="CO44" s="1641"/>
      <c r="CP44" s="1641" t="s">
        <v>205</v>
      </c>
      <c r="CQ44" s="1626"/>
      <c r="CR44" s="1641"/>
      <c r="CS44" s="1641"/>
      <c r="CT44" s="1662"/>
      <c r="CU44" s="1574" t="s">
        <v>105</v>
      </c>
      <c r="CV44" s="1661" t="s">
        <v>45</v>
      </c>
      <c r="CW44" s="1661">
        <v>1</v>
      </c>
      <c r="CX44" s="1661">
        <v>2023</v>
      </c>
      <c r="CY44" s="1661">
        <v>10</v>
      </c>
      <c r="CZ44" s="1661">
        <v>2022</v>
      </c>
      <c r="DA44" s="1661">
        <v>7</v>
      </c>
      <c r="DB44" s="1663">
        <v>2022</v>
      </c>
      <c r="DC44" s="1664" t="s">
        <v>205</v>
      </c>
      <c r="DD44" s="1664" t="s">
        <v>195</v>
      </c>
      <c r="DE44" s="1652"/>
      <c r="DF44" s="1652">
        <v>660</v>
      </c>
      <c r="DG44" s="1652">
        <v>-23604</v>
      </c>
      <c r="DH44" s="1652">
        <v>-1967</v>
      </c>
      <c r="DI44" s="1652" t="s">
        <v>407</v>
      </c>
      <c r="DJ44" s="1652"/>
      <c r="DK44" s="1654"/>
      <c r="DL44" s="1641" t="s">
        <v>196</v>
      </c>
      <c r="DM44" s="1626" t="s">
        <v>208</v>
      </c>
      <c r="DN44" s="1626"/>
      <c r="DO44" s="1626"/>
      <c r="DP44" s="1626"/>
      <c r="DQ44" s="1641"/>
      <c r="DR44" s="1641"/>
      <c r="DS44" s="1665"/>
      <c r="DT44" s="1666"/>
      <c r="DU44" s="1642"/>
      <c r="DV44" s="1665"/>
      <c r="DW44" s="1637" t="s">
        <v>368</v>
      </c>
      <c r="DX44" s="1667" t="s">
        <v>419</v>
      </c>
      <c r="DY44" s="1667" t="s">
        <v>368</v>
      </c>
      <c r="DZ44" s="1667" t="s">
        <v>341</v>
      </c>
      <c r="EA44" s="1668" t="s">
        <v>359</v>
      </c>
      <c r="EB44" s="1667" t="s">
        <v>341</v>
      </c>
      <c r="EC44" s="1626" t="s">
        <v>359</v>
      </c>
      <c r="ED44" s="1637">
        <v>2014</v>
      </c>
      <c r="EE44" s="1667">
        <v>0</v>
      </c>
      <c r="EF44" s="1667" t="s">
        <v>205</v>
      </c>
      <c r="EG44" s="1667" t="s">
        <v>341</v>
      </c>
      <c r="EH44" s="1668" t="s">
        <v>359</v>
      </c>
      <c r="EI44" s="1626" t="s">
        <v>341</v>
      </c>
      <c r="EJ44" s="1641" t="s">
        <v>359</v>
      </c>
      <c r="EK44" s="1663">
        <v>2014</v>
      </c>
      <c r="EL44" s="1642"/>
      <c r="EM44" s="1661" t="s">
        <v>205</v>
      </c>
      <c r="EN44" s="1661" t="s">
        <v>105</v>
      </c>
    </row>
    <row r="45" spans="1:144" s="1661" customFormat="1" ht="33.75" customHeight="1" x14ac:dyDescent="0.2">
      <c r="A45" s="1626">
        <v>788</v>
      </c>
      <c r="B45" s="1627">
        <v>30</v>
      </c>
      <c r="C45" s="1626"/>
      <c r="D45" s="1626" t="s">
        <v>133</v>
      </c>
      <c r="E45" s="1628" t="s">
        <v>86</v>
      </c>
      <c r="F45" s="1629" t="s">
        <v>378</v>
      </c>
      <c r="G45" s="1630" t="s">
        <v>277</v>
      </c>
      <c r="H45" s="1630" t="s">
        <v>359</v>
      </c>
      <c r="I45" s="1630" t="s">
        <v>370</v>
      </c>
      <c r="J45" s="599" t="s">
        <v>359</v>
      </c>
      <c r="K45" s="599">
        <v>1961</v>
      </c>
      <c r="L45" s="599" t="s">
        <v>451</v>
      </c>
      <c r="M45" s="599" t="s">
        <v>455</v>
      </c>
      <c r="N45" s="599"/>
      <c r="O45" s="599" t="e">
        <v>#N/A</v>
      </c>
      <c r="P45" s="599"/>
      <c r="Q45" s="1628" t="e">
        <v>#N/A</v>
      </c>
      <c r="R45" s="1631" t="s">
        <v>368</v>
      </c>
      <c r="S45" s="601" t="s">
        <v>566</v>
      </c>
      <c r="T45" s="1632" t="s">
        <v>294</v>
      </c>
      <c r="U45" s="1632" t="s">
        <v>295</v>
      </c>
      <c r="V45" s="1632" t="s">
        <v>425</v>
      </c>
      <c r="W45" s="1633" t="s">
        <v>295</v>
      </c>
      <c r="X45" s="640" t="s">
        <v>189</v>
      </c>
      <c r="Y45" s="601" t="s">
        <v>357</v>
      </c>
      <c r="Z45" s="640" t="s">
        <v>190</v>
      </c>
      <c r="AA45" s="640" t="s">
        <v>410</v>
      </c>
      <c r="AB45" s="1634">
        <v>12</v>
      </c>
      <c r="AC45" s="635" t="s">
        <v>359</v>
      </c>
      <c r="AD45" s="635">
        <v>12</v>
      </c>
      <c r="AE45" s="1635">
        <v>3.63</v>
      </c>
      <c r="AF45" s="1636">
        <v>10</v>
      </c>
      <c r="AG45" s="601" t="s">
        <v>332</v>
      </c>
      <c r="AH45" s="1637"/>
      <c r="AI45" s="606"/>
      <c r="AJ45" s="1669" t="s">
        <v>341</v>
      </c>
      <c r="AK45" s="1639" t="s">
        <v>359</v>
      </c>
      <c r="AL45" s="1640">
        <v>2019</v>
      </c>
      <c r="AM45" s="1641"/>
      <c r="AN45" s="1642"/>
      <c r="AO45" s="1643"/>
      <c r="AP45" s="1644"/>
      <c r="AQ45" s="1645"/>
      <c r="AR45" s="1693">
        <v>11</v>
      </c>
      <c r="AS45" s="601" t="s">
        <v>332</v>
      </c>
      <c r="AT45" s="1647" t="s">
        <v>341</v>
      </c>
      <c r="AU45" s="1648" t="s">
        <v>359</v>
      </c>
      <c r="AV45" s="1638" t="s">
        <v>341</v>
      </c>
      <c r="AW45" s="1645" t="s">
        <v>359</v>
      </c>
      <c r="AX45" s="1649">
        <v>2021</v>
      </c>
      <c r="AY45" s="1650"/>
      <c r="AZ45" s="1641"/>
      <c r="BA45" s="1651">
        <v>1.18</v>
      </c>
      <c r="BB45" s="1652">
        <v>1</v>
      </c>
      <c r="BC45" s="1653">
        <v>-24253</v>
      </c>
      <c r="BD45" s="1653">
        <v>1.65</v>
      </c>
      <c r="BE45" s="1654">
        <v>0.18</v>
      </c>
      <c r="BF45" s="1655" t="s">
        <v>412</v>
      </c>
      <c r="BG45" s="1656"/>
      <c r="BH45" s="1657"/>
      <c r="BI45" s="1658"/>
      <c r="BJ45" s="1659"/>
      <c r="BK45" s="1658"/>
      <c r="BL45" s="1642"/>
      <c r="BM45" s="1565"/>
      <c r="BN45" s="1566"/>
      <c r="BO45" s="1655"/>
      <c r="BP45" s="1656"/>
      <c r="BQ45" s="1657"/>
      <c r="BR45" s="1658"/>
      <c r="BS45" s="1659"/>
      <c r="BT45" s="1658"/>
      <c r="BU45" s="1642"/>
      <c r="BV45" s="608"/>
      <c r="BW45" s="1641"/>
      <c r="BX45" s="1654"/>
      <c r="BY45" s="1654" t="s">
        <v>205</v>
      </c>
      <c r="BZ45" s="1642" t="s">
        <v>205</v>
      </c>
      <c r="CA45" s="1660" t="s">
        <v>590</v>
      </c>
      <c r="CB45" s="1652" t="s">
        <v>360</v>
      </c>
      <c r="CC45" s="1652" t="s">
        <v>263</v>
      </c>
      <c r="CD45" s="1626" t="s">
        <v>105</v>
      </c>
      <c r="CE45" s="1626" t="s">
        <v>105</v>
      </c>
      <c r="CG45" s="1626"/>
      <c r="CI45" s="1626"/>
      <c r="CJ45" s="1641" t="s">
        <v>205</v>
      </c>
      <c r="CK45" s="1641" t="s">
        <v>205</v>
      </c>
      <c r="CL45" s="1626"/>
      <c r="CM45" s="1641"/>
      <c r="CN45" s="1641"/>
      <c r="CO45" s="1641"/>
      <c r="CP45" s="1641" t="s">
        <v>205</v>
      </c>
      <c r="CQ45" s="1626"/>
      <c r="CR45" s="1641"/>
      <c r="CS45" s="1641"/>
      <c r="CT45" s="1662"/>
      <c r="CU45" s="1574" t="s">
        <v>105</v>
      </c>
      <c r="CV45" s="1661" t="s">
        <v>45</v>
      </c>
      <c r="CW45" s="1661">
        <v>11</v>
      </c>
      <c r="CX45" s="1661">
        <v>2021</v>
      </c>
      <c r="CY45" s="1661">
        <v>8</v>
      </c>
      <c r="CZ45" s="1661">
        <v>2021</v>
      </c>
      <c r="DA45" s="1661">
        <v>5</v>
      </c>
      <c r="DB45" s="1663">
        <v>2021</v>
      </c>
      <c r="DC45" s="1664" t="s">
        <v>205</v>
      </c>
      <c r="DD45" s="1664" t="s">
        <v>195</v>
      </c>
      <c r="DE45" s="1652"/>
      <c r="DF45" s="1652">
        <v>720</v>
      </c>
      <c r="DG45" s="1652">
        <v>-23530</v>
      </c>
      <c r="DH45" s="1652">
        <v>-1961</v>
      </c>
      <c r="DI45" s="1652" t="s">
        <v>404</v>
      </c>
      <c r="DJ45" s="1652"/>
      <c r="DK45" s="1654"/>
      <c r="DL45" s="1641" t="s">
        <v>196</v>
      </c>
      <c r="DM45" s="1626" t="s">
        <v>208</v>
      </c>
      <c r="DN45" s="1626"/>
      <c r="DO45" s="1626"/>
      <c r="DP45" s="1626"/>
      <c r="DQ45" s="1641"/>
      <c r="DR45" s="1641"/>
      <c r="DS45" s="1665"/>
      <c r="DT45" s="1666"/>
      <c r="DU45" s="1642"/>
      <c r="DV45" s="1665"/>
      <c r="DW45" s="1637" t="s">
        <v>368</v>
      </c>
      <c r="DX45" s="1667" t="s">
        <v>416</v>
      </c>
      <c r="DY45" s="1667" t="s">
        <v>365</v>
      </c>
      <c r="DZ45" s="1667" t="s">
        <v>341</v>
      </c>
      <c r="EA45" s="1668" t="s">
        <v>359</v>
      </c>
      <c r="EB45" s="1667" t="s">
        <v>341</v>
      </c>
      <c r="EC45" s="1626" t="s">
        <v>359</v>
      </c>
      <c r="ED45" s="1637">
        <v>2013</v>
      </c>
      <c r="EE45" s="1667">
        <v>0</v>
      </c>
      <c r="EF45" s="1667" t="s">
        <v>205</v>
      </c>
      <c r="EG45" s="1667" t="s">
        <v>341</v>
      </c>
      <c r="EH45" s="1668" t="s">
        <v>359</v>
      </c>
      <c r="EI45" s="1626" t="s">
        <v>341</v>
      </c>
      <c r="EJ45" s="1641" t="s">
        <v>359</v>
      </c>
      <c r="EK45" s="1663">
        <v>2013</v>
      </c>
      <c r="EL45" s="1642"/>
      <c r="EM45" s="1661" t="s">
        <v>205</v>
      </c>
      <c r="EN45" s="1661" t="s">
        <v>105</v>
      </c>
    </row>
    <row r="46" spans="1:144" s="1661" customFormat="1" ht="33.75" customHeight="1" x14ac:dyDescent="0.2">
      <c r="A46" s="1626">
        <v>797</v>
      </c>
      <c r="B46" s="1627">
        <v>31</v>
      </c>
      <c r="C46" s="1626"/>
      <c r="D46" s="1626" t="s">
        <v>134</v>
      </c>
      <c r="E46" s="1628" t="s">
        <v>90</v>
      </c>
      <c r="F46" s="1629" t="s">
        <v>380</v>
      </c>
      <c r="G46" s="1630" t="s">
        <v>373</v>
      </c>
      <c r="H46" s="1630" t="s">
        <v>359</v>
      </c>
      <c r="I46" s="1630" t="s">
        <v>376</v>
      </c>
      <c r="J46" s="599" t="s">
        <v>359</v>
      </c>
      <c r="K46" s="599" t="s">
        <v>321</v>
      </c>
      <c r="L46" s="599" t="s">
        <v>434</v>
      </c>
      <c r="M46" s="599" t="s">
        <v>584</v>
      </c>
      <c r="N46" s="599"/>
      <c r="O46" s="599" t="e">
        <v>#N/A</v>
      </c>
      <c r="P46" s="599"/>
      <c r="Q46" s="1628" t="e">
        <v>#N/A</v>
      </c>
      <c r="R46" s="1631" t="s">
        <v>368</v>
      </c>
      <c r="S46" s="601" t="s">
        <v>566</v>
      </c>
      <c r="T46" s="1632" t="s">
        <v>294</v>
      </c>
      <c r="U46" s="1632" t="s">
        <v>295</v>
      </c>
      <c r="V46" s="1632" t="s">
        <v>425</v>
      </c>
      <c r="W46" s="1633" t="s">
        <v>295</v>
      </c>
      <c r="X46" s="640" t="s">
        <v>189</v>
      </c>
      <c r="Y46" s="601" t="s">
        <v>355</v>
      </c>
      <c r="Z46" s="640" t="s">
        <v>191</v>
      </c>
      <c r="AA46" s="640" t="s">
        <v>410</v>
      </c>
      <c r="AB46" s="1634">
        <v>12</v>
      </c>
      <c r="AC46" s="635" t="s">
        <v>359</v>
      </c>
      <c r="AD46" s="635">
        <v>12</v>
      </c>
      <c r="AE46" s="1635">
        <v>2.98</v>
      </c>
      <c r="AF46" s="1636">
        <v>10</v>
      </c>
      <c r="AG46" s="601" t="s">
        <v>332</v>
      </c>
      <c r="AH46" s="1637"/>
      <c r="AI46" s="606"/>
      <c r="AJ46" s="1669" t="s">
        <v>341</v>
      </c>
      <c r="AK46" s="1639" t="s">
        <v>359</v>
      </c>
      <c r="AL46" s="1640">
        <v>2019</v>
      </c>
      <c r="AM46" s="1641"/>
      <c r="AN46" s="1642"/>
      <c r="AO46" s="1643"/>
      <c r="AP46" s="1644"/>
      <c r="AQ46" s="1645"/>
      <c r="AR46" s="1693">
        <v>11</v>
      </c>
      <c r="AS46" s="601" t="s">
        <v>332</v>
      </c>
      <c r="AT46" s="1647" t="s">
        <v>341</v>
      </c>
      <c r="AU46" s="1648" t="s">
        <v>359</v>
      </c>
      <c r="AV46" s="1638" t="s">
        <v>341</v>
      </c>
      <c r="AW46" s="1645" t="s">
        <v>359</v>
      </c>
      <c r="AX46" s="1649">
        <v>2021</v>
      </c>
      <c r="AY46" s="1650"/>
      <c r="AZ46" s="1641"/>
      <c r="BA46" s="1651">
        <v>1.18</v>
      </c>
      <c r="BB46" s="1652">
        <v>1</v>
      </c>
      <c r="BC46" s="1653">
        <v>-24253</v>
      </c>
      <c r="BD46" s="1653">
        <v>1</v>
      </c>
      <c r="BE46" s="1654">
        <v>0.18</v>
      </c>
      <c r="BF46" s="1655" t="s">
        <v>412</v>
      </c>
      <c r="BG46" s="1656"/>
      <c r="BH46" s="1657"/>
      <c r="BI46" s="1658"/>
      <c r="BJ46" s="1659"/>
      <c r="BK46" s="1658"/>
      <c r="BL46" s="1642"/>
      <c r="BM46" s="1565"/>
      <c r="BN46" s="1566"/>
      <c r="BO46" s="1655"/>
      <c r="BP46" s="1656"/>
      <c r="BQ46" s="1657"/>
      <c r="BR46" s="1658"/>
      <c r="BS46" s="1659"/>
      <c r="BT46" s="1658"/>
      <c r="BU46" s="1642"/>
      <c r="BV46" s="608"/>
      <c r="BW46" s="1641"/>
      <c r="BX46" s="1654"/>
      <c r="BY46" s="1654" t="s">
        <v>205</v>
      </c>
      <c r="BZ46" s="1642" t="s">
        <v>205</v>
      </c>
      <c r="CA46" s="1660" t="s">
        <v>590</v>
      </c>
      <c r="CB46" s="1652" t="s">
        <v>360</v>
      </c>
      <c r="CC46" s="1652" t="s">
        <v>263</v>
      </c>
      <c r="CD46" s="1626" t="s">
        <v>105</v>
      </c>
      <c r="CE46" s="1626" t="s">
        <v>105</v>
      </c>
      <c r="CG46" s="1626"/>
      <c r="CI46" s="1626"/>
      <c r="CJ46" s="1641" t="s">
        <v>205</v>
      </c>
      <c r="CK46" s="1641" t="s">
        <v>205</v>
      </c>
      <c r="CL46" s="1626"/>
      <c r="CM46" s="1641"/>
      <c r="CN46" s="1641"/>
      <c r="CO46" s="1641"/>
      <c r="CP46" s="1641" t="s">
        <v>205</v>
      </c>
      <c r="CQ46" s="1626"/>
      <c r="CR46" s="1641"/>
      <c r="CS46" s="1641"/>
      <c r="CT46" s="1662"/>
      <c r="CU46" s="1574" t="s">
        <v>105</v>
      </c>
      <c r="CV46" s="1661" t="s">
        <v>45</v>
      </c>
      <c r="CW46" s="1661">
        <v>5</v>
      </c>
      <c r="CX46" s="1661">
        <v>2028</v>
      </c>
      <c r="CY46" s="1661">
        <v>2</v>
      </c>
      <c r="CZ46" s="1661">
        <v>2028</v>
      </c>
      <c r="DA46" s="1661">
        <v>11</v>
      </c>
      <c r="DB46" s="1663">
        <v>2027</v>
      </c>
      <c r="DC46" s="1664" t="s">
        <v>205</v>
      </c>
      <c r="DD46" s="1664" t="s">
        <v>195</v>
      </c>
      <c r="DE46" s="1652"/>
      <c r="DF46" s="1652">
        <v>660</v>
      </c>
      <c r="DG46" s="1652">
        <v>-23668</v>
      </c>
      <c r="DH46" s="1652">
        <v>-1973</v>
      </c>
      <c r="DI46" s="1652" t="s">
        <v>407</v>
      </c>
      <c r="DJ46" s="1652"/>
      <c r="DK46" s="1654"/>
      <c r="DL46" s="1641" t="s">
        <v>196</v>
      </c>
      <c r="DM46" s="1626" t="s">
        <v>208</v>
      </c>
      <c r="DN46" s="1626"/>
      <c r="DO46" s="1626"/>
      <c r="DP46" s="1626"/>
      <c r="DQ46" s="1641"/>
      <c r="DR46" s="1641"/>
      <c r="DS46" s="1665"/>
      <c r="DT46" s="1666"/>
      <c r="DU46" s="1642"/>
      <c r="DV46" s="1665"/>
      <c r="DW46" s="1637" t="s">
        <v>368</v>
      </c>
      <c r="DX46" s="1667" t="s">
        <v>416</v>
      </c>
      <c r="DY46" s="1667" t="s">
        <v>365</v>
      </c>
      <c r="DZ46" s="1667" t="s">
        <v>341</v>
      </c>
      <c r="EA46" s="1668" t="s">
        <v>359</v>
      </c>
      <c r="EB46" s="1667" t="s">
        <v>341</v>
      </c>
      <c r="EC46" s="1626" t="s">
        <v>359</v>
      </c>
      <c r="ED46" s="1637">
        <v>2013</v>
      </c>
      <c r="EE46" s="1667">
        <v>0</v>
      </c>
      <c r="EF46" s="1667" t="s">
        <v>205</v>
      </c>
      <c r="EG46" s="1667" t="s">
        <v>341</v>
      </c>
      <c r="EH46" s="1668" t="s">
        <v>359</v>
      </c>
      <c r="EI46" s="1626" t="s">
        <v>341</v>
      </c>
      <c r="EJ46" s="1641" t="s">
        <v>359</v>
      </c>
      <c r="EK46" s="1663">
        <v>2013</v>
      </c>
      <c r="EL46" s="1642"/>
      <c r="EM46" s="1661" t="s">
        <v>205</v>
      </c>
      <c r="EN46" s="1661" t="s">
        <v>105</v>
      </c>
    </row>
    <row r="47" spans="1:144" s="598" customFormat="1" ht="20.25" customHeight="1" x14ac:dyDescent="0.2">
      <c r="A47" s="745"/>
      <c r="B47" s="728"/>
      <c r="C47" s="745"/>
      <c r="D47" s="1694"/>
      <c r="E47" s="1695"/>
      <c r="F47" s="1696"/>
      <c r="J47" s="717"/>
      <c r="K47" s="717"/>
      <c r="L47" s="717"/>
      <c r="M47" s="717"/>
      <c r="N47" s="717"/>
      <c r="O47" s="717"/>
      <c r="P47" s="717"/>
      <c r="Q47" s="1694"/>
      <c r="R47" s="1694"/>
      <c r="S47" s="1697"/>
      <c r="T47" s="1697"/>
      <c r="U47" s="705"/>
      <c r="V47" s="1698"/>
      <c r="W47" s="704"/>
      <c r="X47" s="717"/>
      <c r="Y47" s="723"/>
      <c r="Z47" s="723"/>
      <c r="AA47" s="1699"/>
      <c r="AB47" s="2402" t="s">
        <v>140</v>
      </c>
      <c r="AC47" s="2402"/>
      <c r="AD47" s="2402"/>
      <c r="AE47" s="2402"/>
      <c r="AF47" s="2402"/>
      <c r="AG47" s="2402"/>
      <c r="AH47" s="2402"/>
      <c r="AI47" s="2402"/>
      <c r="AJ47" s="2402"/>
      <c r="AK47" s="2402"/>
      <c r="AL47" s="2402"/>
      <c r="AM47" s="2402"/>
      <c r="AN47" s="2402"/>
      <c r="AO47" s="2402"/>
      <c r="AP47" s="2402"/>
      <c r="AQ47" s="2402"/>
      <c r="AR47" s="2402"/>
      <c r="AS47" s="2402"/>
      <c r="AT47" s="2402"/>
      <c r="AU47" s="2402"/>
      <c r="AV47" s="2402"/>
      <c r="AW47" s="2402"/>
      <c r="AX47" s="2402"/>
      <c r="AY47" s="2402"/>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745"/>
      <c r="CA47" s="1700"/>
      <c r="CB47" s="708"/>
      <c r="CD47" s="1701"/>
      <c r="CE47" s="1702"/>
      <c r="CF47" s="745"/>
    </row>
    <row r="48" spans="1:144" s="598" customFormat="1" ht="12.75" customHeight="1" x14ac:dyDescent="0.2">
      <c r="A48" s="745"/>
      <c r="B48" s="728"/>
      <c r="C48" s="745"/>
      <c r="D48" s="1694"/>
      <c r="E48" s="1695"/>
      <c r="F48" s="1696"/>
      <c r="J48" s="717"/>
      <c r="K48" s="717"/>
      <c r="L48" s="717"/>
      <c r="M48" s="717"/>
      <c r="N48" s="717"/>
      <c r="O48" s="717"/>
      <c r="P48" s="717"/>
      <c r="Q48" s="1694"/>
      <c r="R48" s="1694"/>
      <c r="S48" s="1697"/>
      <c r="T48" s="1697"/>
      <c r="U48" s="705"/>
      <c r="V48" s="1698"/>
      <c r="W48" s="704"/>
      <c r="X48" s="717"/>
      <c r="Y48" s="723"/>
      <c r="Z48" s="723"/>
      <c r="AA48" s="1699"/>
      <c r="AB48" s="2403" t="s">
        <v>491</v>
      </c>
      <c r="AC48" s="2403"/>
      <c r="AD48" s="2403"/>
      <c r="AE48" s="2403"/>
      <c r="AF48" s="2403"/>
      <c r="AG48" s="2403"/>
      <c r="AH48" s="2403"/>
      <c r="AI48" s="2403"/>
      <c r="AJ48" s="2403"/>
      <c r="AK48" s="2403"/>
      <c r="AL48" s="2403"/>
      <c r="AM48" s="2403"/>
      <c r="AN48" s="2403"/>
      <c r="AO48" s="2403"/>
      <c r="AP48" s="2403"/>
      <c r="AQ48" s="2403"/>
      <c r="AR48" s="2403"/>
      <c r="AS48" s="2403"/>
      <c r="AT48" s="2403"/>
      <c r="AU48" s="2403"/>
      <c r="AV48" s="2403"/>
      <c r="AW48" s="2403"/>
      <c r="AX48" s="2403"/>
      <c r="AY48" s="2403"/>
      <c r="AZ48" s="801"/>
      <c r="BA48" s="801"/>
      <c r="BB48" s="801"/>
      <c r="BC48" s="801"/>
      <c r="BD48" s="801"/>
      <c r="BE48" s="801"/>
      <c r="BF48" s="801"/>
      <c r="BG48" s="801"/>
      <c r="BH48" s="801"/>
      <c r="BI48" s="801"/>
      <c r="BJ48" s="801"/>
      <c r="BK48" s="801"/>
      <c r="BL48" s="801"/>
      <c r="BM48" s="801"/>
      <c r="BN48" s="801"/>
      <c r="BO48" s="801"/>
      <c r="BP48" s="801"/>
      <c r="BQ48" s="801"/>
      <c r="BR48" s="801"/>
      <c r="BS48" s="801"/>
      <c r="BT48" s="801"/>
      <c r="BU48" s="801"/>
      <c r="BV48" s="801"/>
      <c r="BW48" s="801"/>
      <c r="BX48" s="801"/>
      <c r="BY48" s="801"/>
      <c r="BZ48" s="745"/>
      <c r="CA48" s="1700"/>
      <c r="CB48" s="708"/>
      <c r="CD48" s="1701"/>
      <c r="CE48" s="1702"/>
      <c r="CF48" s="745"/>
    </row>
    <row r="49" spans="1:84" s="598" customFormat="1" x14ac:dyDescent="0.2">
      <c r="A49" s="745"/>
      <c r="B49" s="728"/>
      <c r="C49" s="745"/>
      <c r="D49" s="1694"/>
      <c r="E49" s="1695"/>
      <c r="F49" s="1696"/>
      <c r="J49" s="717"/>
      <c r="K49" s="717"/>
      <c r="L49" s="717"/>
      <c r="M49" s="717"/>
      <c r="N49" s="717"/>
      <c r="O49" s="717"/>
      <c r="P49" s="717"/>
      <c r="Q49" s="1694"/>
      <c r="R49" s="1694"/>
      <c r="S49" s="1697"/>
      <c r="T49" s="1697"/>
      <c r="U49" s="705"/>
      <c r="V49" s="1698"/>
      <c r="W49" s="704"/>
      <c r="X49" s="717"/>
      <c r="Y49" s="723"/>
      <c r="Z49" s="723"/>
      <c r="AA49" s="1699"/>
      <c r="AB49" s="1699"/>
      <c r="AC49" s="1703"/>
      <c r="AD49" s="1704"/>
      <c r="AE49" s="1705"/>
      <c r="AF49" s="1705"/>
      <c r="AG49" s="1705"/>
      <c r="AH49" s="1704"/>
      <c r="AI49" s="722"/>
      <c r="AJ49" s="1701"/>
      <c r="AK49" s="1703"/>
      <c r="AL49" s="1706"/>
      <c r="AM49" s="1706"/>
      <c r="AN49" s="1706"/>
      <c r="AO49" s="1707"/>
      <c r="AP49" s="1703"/>
      <c r="AQ49" s="1708"/>
      <c r="AR49" s="1709"/>
      <c r="AS49" s="1709"/>
      <c r="AT49" s="1704"/>
      <c r="AU49" s="722"/>
      <c r="AV49" s="1701"/>
      <c r="AW49" s="1703"/>
      <c r="AX49" s="1706"/>
      <c r="AY49" s="693"/>
      <c r="AZ49" s="1701"/>
      <c r="BB49" s="1699"/>
      <c r="BC49" s="746"/>
      <c r="BD49" s="1704"/>
      <c r="BE49" s="1710"/>
      <c r="BF49" s="1707"/>
      <c r="BG49" s="1704"/>
      <c r="BH49" s="1707"/>
      <c r="BI49" s="1710"/>
      <c r="BJ49" s="1704"/>
      <c r="BK49" s="1711"/>
      <c r="BL49" s="705"/>
      <c r="BM49" s="1697"/>
      <c r="BR49" s="1712"/>
      <c r="BS49" s="1713"/>
      <c r="BT49" s="1710"/>
      <c r="BU49" s="705"/>
      <c r="BV49" s="1694"/>
      <c r="BW49" s="1694"/>
      <c r="BX49" s="708"/>
      <c r="BY49" s="708"/>
      <c r="BZ49" s="745"/>
      <c r="CA49" s="1700"/>
      <c r="CB49" s="708"/>
      <c r="CD49" s="1701"/>
      <c r="CE49" s="1702"/>
      <c r="CF49" s="745"/>
    </row>
    <row r="50" spans="1:84" s="598" customFormat="1" ht="10.5" customHeight="1" x14ac:dyDescent="0.2">
      <c r="A50" s="745"/>
      <c r="B50" s="728"/>
      <c r="C50" s="745"/>
      <c r="D50" s="1694"/>
      <c r="E50" s="1695"/>
      <c r="F50" s="1696"/>
      <c r="J50" s="717"/>
      <c r="K50" s="717"/>
      <c r="L50" s="717"/>
      <c r="M50" s="717"/>
      <c r="N50" s="717"/>
      <c r="O50" s="717"/>
      <c r="P50" s="717"/>
      <c r="Q50" s="1694"/>
      <c r="R50" s="1694"/>
      <c r="S50" s="1697"/>
      <c r="T50" s="1697"/>
      <c r="U50" s="705"/>
      <c r="V50" s="1698"/>
      <c r="W50" s="704"/>
      <c r="X50" s="717"/>
      <c r="Y50" s="723"/>
      <c r="Z50" s="723"/>
      <c r="AA50" s="1699"/>
      <c r="AB50" s="1699"/>
      <c r="AC50" s="1703"/>
      <c r="AD50" s="1704"/>
      <c r="AE50" s="1705"/>
      <c r="AF50" s="1705"/>
      <c r="AG50" s="1705"/>
      <c r="AH50" s="1704"/>
      <c r="AI50" s="722"/>
      <c r="AJ50" s="1701"/>
      <c r="AK50" s="1703"/>
      <c r="AL50" s="1706"/>
      <c r="AM50" s="2474" t="s">
        <v>305</v>
      </c>
      <c r="AN50" s="2474"/>
      <c r="AO50" s="2474"/>
      <c r="AP50" s="1703"/>
      <c r="AQ50" s="1708"/>
      <c r="AR50" s="1709"/>
      <c r="AS50" s="1709"/>
      <c r="AT50" s="1704"/>
      <c r="AU50" s="722"/>
      <c r="AV50" s="1701"/>
      <c r="AW50" s="1703"/>
      <c r="AX50" s="1706"/>
      <c r="AY50" s="693"/>
      <c r="AZ50" s="1701"/>
      <c r="BB50" s="1699"/>
      <c r="BC50" s="746"/>
      <c r="BD50" s="1704"/>
      <c r="BE50" s="1710"/>
      <c r="BF50" s="1707"/>
      <c r="BG50" s="1704"/>
      <c r="BH50" s="1707"/>
      <c r="BI50" s="1710"/>
      <c r="BJ50" s="1704"/>
      <c r="BK50" s="1711"/>
      <c r="BL50" s="705"/>
      <c r="BM50" s="1697"/>
      <c r="BR50" s="1712"/>
      <c r="BS50" s="1713"/>
      <c r="BT50" s="1710"/>
      <c r="BU50" s="705"/>
      <c r="BV50" s="1694"/>
      <c r="BW50" s="1694"/>
      <c r="BX50" s="708"/>
      <c r="BY50" s="708"/>
      <c r="BZ50" s="745"/>
      <c r="CA50" s="1700"/>
      <c r="CB50" s="708"/>
      <c r="CD50" s="1701"/>
      <c r="CE50" s="1702"/>
      <c r="CF50" s="745"/>
    </row>
    <row r="51" spans="1:84" s="598" customFormat="1" ht="8.25" customHeight="1" x14ac:dyDescent="0.2">
      <c r="A51" s="745"/>
      <c r="B51" s="728"/>
      <c r="C51" s="745"/>
      <c r="D51" s="1694"/>
      <c r="E51" s="1695"/>
      <c r="F51" s="1696"/>
      <c r="J51" s="717"/>
      <c r="K51" s="717"/>
      <c r="L51" s="717"/>
      <c r="M51" s="717"/>
      <c r="N51" s="717"/>
      <c r="O51" s="717"/>
      <c r="P51" s="717"/>
      <c r="Q51" s="1694"/>
      <c r="R51" s="1694"/>
      <c r="S51" s="1697"/>
      <c r="T51" s="1697"/>
      <c r="U51" s="705"/>
      <c r="V51" s="1698"/>
      <c r="W51" s="704"/>
      <c r="X51" s="717"/>
      <c r="Y51" s="723"/>
      <c r="Z51" s="723"/>
      <c r="AA51" s="1699"/>
      <c r="AB51" s="1699"/>
      <c r="AC51" s="1703"/>
      <c r="AD51" s="1704"/>
      <c r="AE51" s="1705"/>
      <c r="AF51" s="1705"/>
      <c r="AG51" s="1705"/>
      <c r="AH51" s="1704"/>
      <c r="AI51" s="722"/>
      <c r="AJ51" s="1701"/>
      <c r="AK51" s="1703"/>
      <c r="AL51" s="1706"/>
      <c r="AM51" s="1706"/>
      <c r="AN51" s="1706"/>
      <c r="AO51" s="1707"/>
      <c r="AP51" s="1703"/>
      <c r="AQ51" s="1708"/>
      <c r="AR51" s="1709"/>
      <c r="AS51" s="1709"/>
      <c r="AT51" s="1704"/>
      <c r="AU51" s="722"/>
      <c r="AV51" s="1701"/>
      <c r="AW51" s="1703"/>
      <c r="AX51" s="1706"/>
      <c r="AY51" s="693"/>
      <c r="AZ51" s="1701"/>
      <c r="BB51" s="1699"/>
      <c r="BC51" s="746"/>
      <c r="BD51" s="1704"/>
      <c r="BE51" s="1710"/>
      <c r="BF51" s="1707"/>
      <c r="BG51" s="1704"/>
      <c r="BH51" s="1707"/>
      <c r="BI51" s="1710"/>
      <c r="BJ51" s="1704"/>
      <c r="BK51" s="1711"/>
      <c r="BL51" s="705"/>
      <c r="BM51" s="1697"/>
      <c r="BR51" s="1712"/>
      <c r="BS51" s="1713"/>
      <c r="BT51" s="1710"/>
      <c r="BU51" s="705"/>
      <c r="BV51" s="1694"/>
      <c r="BW51" s="1694"/>
      <c r="BX51" s="708"/>
      <c r="BY51" s="708"/>
      <c r="BZ51" s="745"/>
      <c r="CA51" s="1700"/>
      <c r="CB51" s="708"/>
      <c r="CD51" s="1701"/>
      <c r="CE51" s="1702"/>
      <c r="CF51" s="745"/>
    </row>
    <row r="52" spans="1:84" s="598" customFormat="1" x14ac:dyDescent="0.2">
      <c r="A52" s="745"/>
      <c r="B52" s="728"/>
      <c r="C52" s="745"/>
      <c r="D52" s="1694"/>
      <c r="E52" s="1695"/>
      <c r="F52" s="1696"/>
      <c r="J52" s="717"/>
      <c r="K52" s="717"/>
      <c r="L52" s="717"/>
      <c r="M52" s="717"/>
      <c r="N52" s="717"/>
      <c r="O52" s="717"/>
      <c r="P52" s="717"/>
      <c r="Q52" s="1694"/>
      <c r="R52" s="1694"/>
      <c r="S52" s="1697"/>
      <c r="T52" s="1697"/>
      <c r="U52" s="705"/>
      <c r="V52" s="1698"/>
      <c r="W52" s="704"/>
      <c r="X52" s="717"/>
      <c r="Y52" s="723"/>
      <c r="Z52" s="723"/>
      <c r="AA52" s="1699"/>
      <c r="AB52" s="1699"/>
      <c r="AC52" s="1703"/>
      <c r="AD52" s="1704"/>
      <c r="AE52" s="1705"/>
      <c r="AF52" s="1705"/>
      <c r="AG52" s="1705"/>
      <c r="AH52" s="1704"/>
      <c r="AI52" s="722"/>
      <c r="AJ52" s="1701"/>
      <c r="AK52" s="1703"/>
      <c r="AL52" s="1706"/>
      <c r="AM52" s="1706"/>
      <c r="AN52" s="1706"/>
      <c r="AO52" s="1707"/>
      <c r="AP52" s="1703"/>
      <c r="AQ52" s="1708"/>
      <c r="AR52" s="1709"/>
      <c r="AS52" s="1709"/>
      <c r="AT52" s="1704"/>
      <c r="AU52" s="722"/>
      <c r="AV52" s="1701"/>
      <c r="AW52" s="1703"/>
      <c r="AX52" s="1706"/>
      <c r="AY52" s="693"/>
      <c r="AZ52" s="1701"/>
      <c r="BB52" s="1699"/>
      <c r="BC52" s="746"/>
      <c r="BD52" s="1704"/>
      <c r="BE52" s="1710"/>
      <c r="BF52" s="1707"/>
      <c r="BG52" s="1704"/>
      <c r="BH52" s="1707"/>
      <c r="BI52" s="1710"/>
      <c r="BJ52" s="1704"/>
      <c r="BK52" s="1711"/>
      <c r="BL52" s="705"/>
      <c r="BM52" s="1697"/>
      <c r="BR52" s="1712"/>
      <c r="BS52" s="1713"/>
      <c r="BT52" s="1710"/>
      <c r="BU52" s="705"/>
      <c r="BV52" s="1694"/>
      <c r="BW52" s="1694"/>
      <c r="BX52" s="708"/>
      <c r="BY52" s="708"/>
      <c r="BZ52" s="745"/>
      <c r="CA52" s="1700"/>
      <c r="CB52" s="708"/>
      <c r="CD52" s="1701"/>
      <c r="CE52" s="1702"/>
      <c r="CF52" s="745"/>
    </row>
    <row r="53" spans="1:84" s="598" customFormat="1" x14ac:dyDescent="0.2">
      <c r="A53" s="745"/>
      <c r="B53" s="728"/>
      <c r="C53" s="745"/>
      <c r="D53" s="1694"/>
      <c r="E53" s="1695"/>
      <c r="F53" s="1696"/>
      <c r="J53" s="717"/>
      <c r="K53" s="717"/>
      <c r="L53" s="717"/>
      <c r="M53" s="717"/>
      <c r="N53" s="717"/>
      <c r="O53" s="717"/>
      <c r="P53" s="717"/>
      <c r="Q53" s="1694"/>
      <c r="R53" s="1694"/>
      <c r="S53" s="1697"/>
      <c r="T53" s="1697"/>
      <c r="U53" s="705"/>
      <c r="V53" s="1698"/>
      <c r="W53" s="704"/>
      <c r="X53" s="717"/>
      <c r="Y53" s="723"/>
      <c r="Z53" s="723"/>
      <c r="AA53" s="1699"/>
      <c r="AB53" s="2397" t="s">
        <v>141</v>
      </c>
      <c r="AC53" s="2397"/>
      <c r="AD53" s="2397"/>
      <c r="AE53" s="2397"/>
      <c r="AF53" s="2397"/>
      <c r="AG53" s="2397"/>
      <c r="AH53" s="2397"/>
      <c r="AI53" s="2397"/>
      <c r="AJ53" s="2397"/>
      <c r="AK53" s="2397"/>
      <c r="AL53" s="2397"/>
      <c r="AM53" s="2397"/>
      <c r="AN53" s="2397"/>
      <c r="AO53" s="2397"/>
      <c r="AP53" s="2397"/>
      <c r="AQ53" s="2397"/>
      <c r="AR53" s="2397"/>
      <c r="AS53" s="2397"/>
      <c r="AT53" s="2397"/>
      <c r="AU53" s="2397"/>
      <c r="AV53" s="2397"/>
      <c r="AW53" s="2397"/>
      <c r="AX53" s="2397"/>
      <c r="AY53" s="2397"/>
      <c r="AZ53" s="1701"/>
      <c r="BB53" s="1699"/>
      <c r="BC53" s="746"/>
      <c r="BD53" s="1704"/>
      <c r="BE53" s="1710"/>
      <c r="BF53" s="1707"/>
      <c r="BG53" s="1704"/>
      <c r="BH53" s="1707"/>
      <c r="BI53" s="1710"/>
      <c r="BJ53" s="1704"/>
      <c r="BK53" s="1711"/>
      <c r="BL53" s="705"/>
      <c r="BM53" s="1697"/>
      <c r="BR53" s="1712"/>
      <c r="BS53" s="1713"/>
      <c r="BT53" s="1710"/>
      <c r="BU53" s="705"/>
      <c r="BV53" s="1694"/>
      <c r="BW53" s="1694"/>
      <c r="BX53" s="708"/>
      <c r="BY53" s="708"/>
      <c r="BZ53" s="745"/>
      <c r="CA53" s="1700"/>
      <c r="CB53" s="708"/>
      <c r="CD53" s="1701"/>
      <c r="CE53" s="1702"/>
      <c r="CF53" s="745"/>
    </row>
    <row r="54" spans="1:84" s="598" customFormat="1" x14ac:dyDescent="0.2">
      <c r="A54" s="745"/>
      <c r="B54" s="728"/>
      <c r="C54" s="745"/>
      <c r="D54" s="1694"/>
      <c r="E54" s="1695"/>
      <c r="F54" s="1696"/>
      <c r="J54" s="717"/>
      <c r="K54" s="717"/>
      <c r="L54" s="717"/>
      <c r="M54" s="717"/>
      <c r="N54" s="717"/>
      <c r="O54" s="717"/>
      <c r="P54" s="717"/>
      <c r="Q54" s="1694"/>
      <c r="R54" s="1694"/>
      <c r="S54" s="1697"/>
      <c r="T54" s="1697"/>
      <c r="U54" s="705"/>
      <c r="V54" s="1698"/>
      <c r="W54" s="704"/>
      <c r="X54" s="717"/>
      <c r="Y54" s="723"/>
      <c r="Z54" s="723"/>
      <c r="AA54" s="1699"/>
      <c r="AB54" s="1699"/>
      <c r="AC54" s="1703"/>
      <c r="AD54" s="1704"/>
      <c r="AE54" s="1705"/>
      <c r="AF54" s="1705"/>
      <c r="AG54" s="1705"/>
      <c r="AH54" s="1704"/>
      <c r="AI54" s="722"/>
      <c r="AJ54" s="1701"/>
      <c r="AK54" s="1703"/>
      <c r="AL54" s="1706"/>
      <c r="AM54" s="1706"/>
      <c r="AN54" s="1706"/>
      <c r="AO54" s="1707"/>
      <c r="AP54" s="1703"/>
      <c r="AQ54" s="1708"/>
      <c r="AR54" s="1709"/>
      <c r="AS54" s="1709"/>
      <c r="AT54" s="1704"/>
      <c r="AU54" s="722"/>
      <c r="AV54" s="1701"/>
      <c r="AW54" s="1703"/>
      <c r="AX54" s="1706"/>
      <c r="AY54" s="693"/>
      <c r="AZ54" s="1701"/>
      <c r="BB54" s="1699"/>
      <c r="BC54" s="746"/>
      <c r="BD54" s="1704"/>
      <c r="BE54" s="1710"/>
      <c r="BF54" s="1707"/>
      <c r="BG54" s="1704"/>
      <c r="BH54" s="1707"/>
      <c r="BI54" s="1710"/>
      <c r="BJ54" s="1704"/>
      <c r="BK54" s="1711"/>
      <c r="BL54" s="705"/>
      <c r="BM54" s="1697"/>
      <c r="BR54" s="1712"/>
      <c r="BS54" s="1713"/>
      <c r="BT54" s="1710"/>
      <c r="BU54" s="705"/>
      <c r="BV54" s="1694"/>
      <c r="BW54" s="1694"/>
      <c r="BX54" s="708"/>
      <c r="BY54" s="708"/>
      <c r="BZ54" s="745"/>
      <c r="CA54" s="1700"/>
      <c r="CB54" s="708"/>
      <c r="CD54" s="1701"/>
      <c r="CE54" s="1702"/>
      <c r="CF54" s="745"/>
    </row>
    <row r="55" spans="1:84" s="598" customFormat="1" x14ac:dyDescent="0.2">
      <c r="A55" s="745"/>
      <c r="B55" s="728"/>
      <c r="C55" s="745"/>
      <c r="D55" s="1694"/>
      <c r="E55" s="1695"/>
      <c r="F55" s="1696"/>
      <c r="J55" s="717"/>
      <c r="K55" s="717"/>
      <c r="L55" s="717"/>
      <c r="M55" s="717"/>
      <c r="N55" s="717"/>
      <c r="O55" s="717"/>
      <c r="P55" s="717"/>
      <c r="Q55" s="1694"/>
      <c r="R55" s="1694"/>
      <c r="S55" s="1697"/>
      <c r="T55" s="1697"/>
      <c r="U55" s="705"/>
      <c r="V55" s="1698"/>
      <c r="W55" s="704"/>
      <c r="X55" s="717"/>
      <c r="Y55" s="723"/>
      <c r="Z55" s="723"/>
      <c r="AA55" s="1699"/>
      <c r="AB55" s="1699"/>
      <c r="AC55" s="1703"/>
      <c r="AD55" s="1704"/>
      <c r="AE55" s="1705"/>
      <c r="AF55" s="1705"/>
      <c r="AG55" s="1705"/>
      <c r="AH55" s="1704"/>
      <c r="AI55" s="722"/>
      <c r="AJ55" s="1701"/>
      <c r="AK55" s="1703"/>
      <c r="AL55" s="1706"/>
      <c r="AM55" s="1706"/>
      <c r="AN55" s="1706"/>
      <c r="AO55" s="1707"/>
      <c r="AP55" s="1703"/>
      <c r="AQ55" s="1708"/>
      <c r="AR55" s="1709"/>
      <c r="AS55" s="1709"/>
      <c r="AT55" s="1704"/>
      <c r="AU55" s="722"/>
      <c r="AV55" s="1701"/>
      <c r="AW55" s="1703"/>
      <c r="AX55" s="1706"/>
      <c r="AY55" s="693"/>
      <c r="AZ55" s="1701"/>
      <c r="BB55" s="1699"/>
      <c r="BC55" s="746"/>
      <c r="BD55" s="1704"/>
      <c r="BE55" s="1710"/>
      <c r="BF55" s="1707"/>
      <c r="BG55" s="1704"/>
      <c r="BH55" s="1707"/>
      <c r="BI55" s="1710"/>
      <c r="BJ55" s="1704"/>
      <c r="BK55" s="1711"/>
      <c r="BL55" s="705"/>
      <c r="BM55" s="1697"/>
      <c r="BR55" s="1712"/>
      <c r="BS55" s="1713"/>
      <c r="BT55" s="1710"/>
      <c r="BU55" s="705"/>
      <c r="BV55" s="1694"/>
      <c r="BW55" s="1694"/>
      <c r="BX55" s="708"/>
      <c r="BY55" s="708"/>
      <c r="BZ55" s="745"/>
      <c r="CA55" s="1700"/>
      <c r="CB55" s="708"/>
      <c r="CD55" s="1701"/>
      <c r="CE55" s="1702"/>
      <c r="CF55" s="745"/>
    </row>
    <row r="56" spans="1:84" s="598" customFormat="1" x14ac:dyDescent="0.2">
      <c r="A56" s="745"/>
      <c r="B56" s="728"/>
      <c r="C56" s="745"/>
      <c r="D56" s="1694"/>
      <c r="E56" s="1695"/>
      <c r="F56" s="1696"/>
      <c r="J56" s="717"/>
      <c r="K56" s="717"/>
      <c r="L56" s="717"/>
      <c r="M56" s="717"/>
      <c r="N56" s="717"/>
      <c r="O56" s="717"/>
      <c r="P56" s="717"/>
      <c r="Q56" s="1694"/>
      <c r="R56" s="1694"/>
      <c r="S56" s="1697"/>
      <c r="T56" s="1697"/>
      <c r="U56" s="705"/>
      <c r="V56" s="1698"/>
      <c r="W56" s="704"/>
      <c r="X56" s="717"/>
      <c r="Y56" s="723"/>
      <c r="Z56" s="723"/>
      <c r="AA56" s="1699"/>
      <c r="AB56" s="1699"/>
      <c r="AC56" s="1703"/>
      <c r="AD56" s="1704"/>
      <c r="AE56" s="1705"/>
      <c r="AF56" s="1705"/>
      <c r="AG56" s="1705"/>
      <c r="AH56" s="1704"/>
      <c r="AI56" s="722"/>
      <c r="AJ56" s="1701"/>
      <c r="AK56" s="1703"/>
      <c r="AL56" s="1706"/>
      <c r="AM56" s="1706"/>
      <c r="AN56" s="1706"/>
      <c r="AO56" s="1707"/>
      <c r="AP56" s="1703"/>
      <c r="AQ56" s="1708"/>
      <c r="AR56" s="1709"/>
      <c r="AS56" s="1709"/>
      <c r="AT56" s="1704"/>
      <c r="AU56" s="722"/>
      <c r="AV56" s="1701"/>
      <c r="AW56" s="1703"/>
      <c r="AX56" s="1706"/>
      <c r="AY56" s="693"/>
      <c r="AZ56" s="1701"/>
      <c r="BB56" s="1699"/>
      <c r="BC56" s="746"/>
      <c r="BD56" s="1704"/>
      <c r="BE56" s="1710"/>
      <c r="BF56" s="1707"/>
      <c r="BG56" s="1704"/>
      <c r="BH56" s="1707"/>
      <c r="BI56" s="1710"/>
      <c r="BJ56" s="1704"/>
      <c r="BK56" s="1711"/>
      <c r="BL56" s="705"/>
      <c r="BM56" s="1697"/>
      <c r="BR56" s="1712"/>
      <c r="BS56" s="1713"/>
      <c r="BT56" s="1710"/>
      <c r="BU56" s="705"/>
      <c r="BV56" s="1694"/>
      <c r="BW56" s="1694"/>
      <c r="BX56" s="708"/>
      <c r="BY56" s="708"/>
      <c r="BZ56" s="745"/>
      <c r="CA56" s="1700"/>
      <c r="CB56" s="708"/>
      <c r="CD56" s="1701"/>
      <c r="CE56" s="1702"/>
      <c r="CF56" s="745"/>
    </row>
    <row r="57" spans="1:84" s="598" customFormat="1" x14ac:dyDescent="0.2">
      <c r="A57" s="745"/>
      <c r="B57" s="728"/>
      <c r="C57" s="745"/>
      <c r="D57" s="1694"/>
      <c r="E57" s="1695"/>
      <c r="F57" s="1696"/>
      <c r="J57" s="717"/>
      <c r="K57" s="717"/>
      <c r="L57" s="717"/>
      <c r="M57" s="717"/>
      <c r="N57" s="717"/>
      <c r="O57" s="717"/>
      <c r="P57" s="717"/>
      <c r="Q57" s="1694"/>
      <c r="R57" s="1694"/>
      <c r="S57" s="1697"/>
      <c r="T57" s="1697"/>
      <c r="U57" s="705"/>
      <c r="V57" s="1698"/>
      <c r="W57" s="704"/>
      <c r="X57" s="717"/>
      <c r="Y57" s="723"/>
      <c r="Z57" s="723"/>
      <c r="AA57" s="1699"/>
      <c r="AB57" s="1699"/>
      <c r="AC57" s="1703"/>
      <c r="AD57" s="1704"/>
      <c r="AE57" s="1705"/>
      <c r="AF57" s="1705"/>
      <c r="AG57" s="1705"/>
      <c r="AH57" s="1704"/>
      <c r="AI57" s="722"/>
      <c r="AJ57" s="1701"/>
      <c r="AK57" s="1703"/>
      <c r="AL57" s="1706"/>
      <c r="AM57" s="1706"/>
      <c r="AN57" s="1706"/>
      <c r="AO57" s="1707"/>
      <c r="AP57" s="1703"/>
      <c r="AQ57" s="1708"/>
      <c r="AR57" s="1709"/>
      <c r="AS57" s="1709"/>
      <c r="AT57" s="1704"/>
      <c r="AU57" s="722"/>
      <c r="AV57" s="1701"/>
      <c r="AW57" s="1703"/>
      <c r="AX57" s="1706"/>
      <c r="AY57" s="693"/>
      <c r="AZ57" s="1701"/>
      <c r="BB57" s="1699"/>
      <c r="BC57" s="746"/>
      <c r="BD57" s="1704"/>
      <c r="BE57" s="1710"/>
      <c r="BF57" s="1707"/>
      <c r="BG57" s="1704"/>
      <c r="BH57" s="1707"/>
      <c r="BI57" s="1710"/>
      <c r="BJ57" s="1704"/>
      <c r="BK57" s="1711"/>
      <c r="BL57" s="705"/>
      <c r="BM57" s="1697"/>
      <c r="BR57" s="1712"/>
      <c r="BS57" s="1713"/>
      <c r="BT57" s="1710"/>
      <c r="BU57" s="705"/>
      <c r="BV57" s="1694"/>
      <c r="BW57" s="1694"/>
      <c r="BX57" s="708"/>
      <c r="BY57" s="708"/>
      <c r="BZ57" s="745"/>
      <c r="CA57" s="1700"/>
      <c r="CB57" s="708"/>
      <c r="CD57" s="1701"/>
      <c r="CE57" s="1702"/>
      <c r="CF57" s="745"/>
    </row>
    <row r="58" spans="1:84" s="598" customFormat="1" x14ac:dyDescent="0.2">
      <c r="A58" s="745"/>
      <c r="B58" s="728"/>
      <c r="C58" s="745"/>
      <c r="D58" s="1694"/>
      <c r="E58" s="1695"/>
      <c r="F58" s="1696"/>
      <c r="J58" s="717"/>
      <c r="K58" s="717"/>
      <c r="L58" s="717"/>
      <c r="M58" s="717"/>
      <c r="N58" s="717"/>
      <c r="O58" s="717"/>
      <c r="P58" s="717"/>
      <c r="Q58" s="1694"/>
      <c r="R58" s="1694"/>
      <c r="S58" s="1697"/>
      <c r="T58" s="1697"/>
      <c r="U58" s="705"/>
      <c r="V58" s="1698"/>
      <c r="W58" s="704"/>
      <c r="X58" s="717"/>
      <c r="Y58" s="723"/>
      <c r="Z58" s="723"/>
      <c r="AA58" s="1699"/>
      <c r="AB58" s="1699"/>
      <c r="AC58" s="1703"/>
      <c r="AD58" s="1704"/>
      <c r="AE58" s="1705"/>
      <c r="AF58" s="1705"/>
      <c r="AG58" s="1705"/>
      <c r="AH58" s="1704"/>
      <c r="AI58" s="722"/>
      <c r="AJ58" s="1701"/>
      <c r="AK58" s="1703"/>
      <c r="AL58" s="1706"/>
      <c r="AM58" s="1706"/>
      <c r="AN58" s="1706"/>
      <c r="AO58" s="1707"/>
      <c r="AP58" s="1703"/>
      <c r="AQ58" s="1708"/>
      <c r="AR58" s="1709"/>
      <c r="AS58" s="1709"/>
      <c r="AT58" s="1704"/>
      <c r="AU58" s="722"/>
      <c r="AV58" s="1701"/>
      <c r="AW58" s="1703"/>
      <c r="AX58" s="1706"/>
      <c r="AY58" s="693"/>
      <c r="AZ58" s="1701"/>
      <c r="BB58" s="1699"/>
      <c r="BC58" s="746"/>
      <c r="BD58" s="1704"/>
      <c r="BE58" s="1710"/>
      <c r="BF58" s="1707"/>
      <c r="BG58" s="1704"/>
      <c r="BH58" s="1707"/>
      <c r="BI58" s="1710"/>
      <c r="BJ58" s="1704"/>
      <c r="BK58" s="1711"/>
      <c r="BL58" s="705"/>
      <c r="BM58" s="1697"/>
      <c r="BR58" s="1712"/>
      <c r="BS58" s="1713"/>
      <c r="BT58" s="1710"/>
      <c r="BU58" s="705"/>
      <c r="BV58" s="1694"/>
      <c r="BW58" s="1694"/>
      <c r="BX58" s="708"/>
      <c r="BY58" s="708"/>
      <c r="BZ58" s="745"/>
      <c r="CA58" s="1700"/>
      <c r="CB58" s="708"/>
      <c r="CD58" s="1701"/>
      <c r="CE58" s="1702"/>
      <c r="CF58" s="745"/>
    </row>
    <row r="59" spans="1:84" s="598" customFormat="1" x14ac:dyDescent="0.2">
      <c r="A59" s="745"/>
      <c r="B59" s="728"/>
      <c r="C59" s="745"/>
      <c r="D59" s="1694"/>
      <c r="E59" s="1695"/>
      <c r="F59" s="1696"/>
      <c r="J59" s="717"/>
      <c r="K59" s="717"/>
      <c r="L59" s="717"/>
      <c r="M59" s="717"/>
      <c r="N59" s="717"/>
      <c r="O59" s="717"/>
      <c r="P59" s="717"/>
      <c r="Q59" s="1694"/>
      <c r="R59" s="1694"/>
      <c r="S59" s="1697"/>
      <c r="T59" s="1697"/>
      <c r="U59" s="705"/>
      <c r="V59" s="1698"/>
      <c r="W59" s="704"/>
      <c r="X59" s="717"/>
      <c r="Y59" s="723"/>
      <c r="Z59" s="723"/>
      <c r="AA59" s="1699"/>
      <c r="AB59" s="1699"/>
      <c r="AC59" s="1703"/>
      <c r="AD59" s="1704"/>
      <c r="AE59" s="1705"/>
      <c r="AF59" s="1705"/>
      <c r="AG59" s="1705"/>
      <c r="AH59" s="1704"/>
      <c r="AI59" s="722"/>
      <c r="AJ59" s="1701"/>
      <c r="AK59" s="1703"/>
      <c r="AL59" s="1706"/>
      <c r="AM59" s="1706"/>
      <c r="AN59" s="1706"/>
      <c r="AO59" s="1707"/>
      <c r="AP59" s="1703"/>
      <c r="AQ59" s="1708"/>
      <c r="AR59" s="1709"/>
      <c r="AS59" s="1709"/>
      <c r="AT59" s="1704"/>
      <c r="AU59" s="722"/>
      <c r="AV59" s="1701"/>
      <c r="AW59" s="1703"/>
      <c r="AX59" s="1706"/>
      <c r="AY59" s="693"/>
      <c r="AZ59" s="1701"/>
      <c r="BB59" s="1699"/>
      <c r="BC59" s="746"/>
      <c r="BD59" s="1704"/>
      <c r="BE59" s="1710"/>
      <c r="BF59" s="1707"/>
      <c r="BG59" s="1704"/>
      <c r="BH59" s="1707"/>
      <c r="BI59" s="1710"/>
      <c r="BJ59" s="1704"/>
      <c r="BK59" s="1711"/>
      <c r="BL59" s="705"/>
      <c r="BM59" s="1697"/>
      <c r="BR59" s="1712"/>
      <c r="BS59" s="1713"/>
      <c r="BT59" s="1710"/>
      <c r="BU59" s="705"/>
      <c r="BV59" s="1694"/>
      <c r="BW59" s="1694"/>
      <c r="BX59" s="708"/>
      <c r="BY59" s="708"/>
      <c r="BZ59" s="745"/>
      <c r="CA59" s="1700"/>
      <c r="CB59" s="708"/>
      <c r="CD59" s="1701"/>
      <c r="CE59" s="1702"/>
      <c r="CF59" s="745"/>
    </row>
    <row r="60" spans="1:84" s="598" customFormat="1" x14ac:dyDescent="0.2">
      <c r="A60" s="745"/>
      <c r="B60" s="728"/>
      <c r="C60" s="745"/>
      <c r="D60" s="1694"/>
      <c r="E60" s="1695"/>
      <c r="F60" s="1696"/>
      <c r="J60" s="717"/>
      <c r="K60" s="717"/>
      <c r="L60" s="717"/>
      <c r="M60" s="717"/>
      <c r="N60" s="717"/>
      <c r="O60" s="717"/>
      <c r="P60" s="717"/>
      <c r="Q60" s="1694"/>
      <c r="R60" s="1694"/>
      <c r="S60" s="1697"/>
      <c r="T60" s="1697"/>
      <c r="U60" s="705"/>
      <c r="V60" s="1698"/>
      <c r="W60" s="704"/>
      <c r="X60" s="717"/>
      <c r="Y60" s="723"/>
      <c r="Z60" s="723"/>
      <c r="AA60" s="1699"/>
      <c r="AB60" s="1699"/>
      <c r="AC60" s="1703"/>
      <c r="AD60" s="1704"/>
      <c r="AE60" s="1705"/>
      <c r="AF60" s="1705"/>
      <c r="AG60" s="1705"/>
      <c r="AH60" s="1704"/>
      <c r="AI60" s="722"/>
      <c r="AJ60" s="1701"/>
      <c r="AK60" s="1703"/>
      <c r="AL60" s="1706"/>
      <c r="AM60" s="1706"/>
      <c r="AN60" s="1706"/>
      <c r="AO60" s="1707"/>
      <c r="AP60" s="1703"/>
      <c r="AQ60" s="1708"/>
      <c r="AR60" s="1709"/>
      <c r="AS60" s="1709"/>
      <c r="AT60" s="1704"/>
      <c r="AU60" s="722"/>
      <c r="AV60" s="1701"/>
      <c r="AW60" s="1703"/>
      <c r="AX60" s="1706"/>
      <c r="AY60" s="693"/>
      <c r="AZ60" s="1701"/>
      <c r="BB60" s="1699"/>
      <c r="BC60" s="746"/>
      <c r="BD60" s="1704"/>
      <c r="BE60" s="1710"/>
      <c r="BF60" s="1707"/>
      <c r="BG60" s="1704"/>
      <c r="BH60" s="1707"/>
      <c r="BI60" s="1710"/>
      <c r="BJ60" s="1704"/>
      <c r="BK60" s="1711"/>
      <c r="BL60" s="705"/>
      <c r="BM60" s="1697"/>
      <c r="BR60" s="1712"/>
      <c r="BS60" s="1713"/>
      <c r="BT60" s="1710"/>
      <c r="BU60" s="705"/>
      <c r="BV60" s="1694"/>
      <c r="BW60" s="1694"/>
      <c r="BX60" s="708"/>
      <c r="BY60" s="708"/>
      <c r="BZ60" s="745"/>
      <c r="CA60" s="1700"/>
      <c r="CB60" s="708"/>
      <c r="CD60" s="1701"/>
      <c r="CE60" s="1702"/>
      <c r="CF60" s="745"/>
    </row>
    <row r="61" spans="1:84" s="598" customFormat="1" x14ac:dyDescent="0.2">
      <c r="A61" s="745"/>
      <c r="B61" s="728"/>
      <c r="C61" s="745"/>
      <c r="D61" s="1694"/>
      <c r="E61" s="1695"/>
      <c r="F61" s="1696"/>
      <c r="J61" s="717"/>
      <c r="K61" s="717"/>
      <c r="L61" s="717"/>
      <c r="M61" s="717"/>
      <c r="N61" s="717"/>
      <c r="O61" s="717"/>
      <c r="P61" s="717"/>
      <c r="Q61" s="1694"/>
      <c r="R61" s="1694"/>
      <c r="S61" s="1697"/>
      <c r="T61" s="1697"/>
      <c r="U61" s="705"/>
      <c r="V61" s="1698"/>
      <c r="W61" s="704"/>
      <c r="X61" s="717"/>
      <c r="Y61" s="723"/>
      <c r="Z61" s="723"/>
      <c r="AA61" s="1699"/>
      <c r="AB61" s="1699"/>
      <c r="AC61" s="1703"/>
      <c r="AD61" s="1704"/>
      <c r="AE61" s="1705"/>
      <c r="AF61" s="1705"/>
      <c r="AG61" s="1705"/>
      <c r="AH61" s="1704"/>
      <c r="AI61" s="722"/>
      <c r="AJ61" s="1701"/>
      <c r="AK61" s="1703"/>
      <c r="AL61" s="1706"/>
      <c r="AM61" s="1706"/>
      <c r="AN61" s="1706"/>
      <c r="AO61" s="1707"/>
      <c r="AP61" s="1703"/>
      <c r="AQ61" s="1708"/>
      <c r="AR61" s="1709"/>
      <c r="AS61" s="1709"/>
      <c r="AT61" s="1704"/>
      <c r="AU61" s="722"/>
      <c r="AV61" s="1701"/>
      <c r="AW61" s="1703"/>
      <c r="AX61" s="1706"/>
      <c r="AY61" s="693"/>
      <c r="AZ61" s="1701"/>
      <c r="BB61" s="1699"/>
      <c r="BC61" s="746"/>
      <c r="BD61" s="1704"/>
      <c r="BE61" s="1710"/>
      <c r="BF61" s="1707"/>
      <c r="BG61" s="1704"/>
      <c r="BH61" s="1707"/>
      <c r="BI61" s="1710"/>
      <c r="BJ61" s="1704"/>
      <c r="BK61" s="1711"/>
      <c r="BL61" s="705"/>
      <c r="BM61" s="1697"/>
      <c r="BR61" s="1712"/>
      <c r="BS61" s="1713"/>
      <c r="BT61" s="1710"/>
      <c r="BU61" s="705"/>
      <c r="BV61" s="1694"/>
      <c r="BW61" s="1694"/>
      <c r="BX61" s="708"/>
      <c r="BY61" s="708"/>
      <c r="BZ61" s="745"/>
      <c r="CA61" s="1700"/>
      <c r="CB61" s="708"/>
      <c r="CD61" s="1701"/>
      <c r="CE61" s="1702"/>
      <c r="CF61" s="745"/>
    </row>
    <row r="62" spans="1:84" s="598" customFormat="1" x14ac:dyDescent="0.2">
      <c r="A62" s="745"/>
      <c r="B62" s="728"/>
      <c r="C62" s="745"/>
      <c r="D62" s="1694"/>
      <c r="E62" s="1695"/>
      <c r="F62" s="1696"/>
      <c r="J62" s="717"/>
      <c r="K62" s="717"/>
      <c r="L62" s="717"/>
      <c r="M62" s="717"/>
      <c r="N62" s="717"/>
      <c r="O62" s="717"/>
      <c r="P62" s="717"/>
      <c r="Q62" s="1694"/>
      <c r="R62" s="1694"/>
      <c r="S62" s="1697"/>
      <c r="T62" s="1697"/>
      <c r="U62" s="705"/>
      <c r="V62" s="1698"/>
      <c r="W62" s="704"/>
      <c r="X62" s="717"/>
      <c r="Y62" s="723"/>
      <c r="Z62" s="723"/>
      <c r="AA62" s="1699"/>
      <c r="AB62" s="1699"/>
      <c r="AC62" s="1703"/>
      <c r="AD62" s="1704"/>
      <c r="AE62" s="1705"/>
      <c r="AF62" s="1705"/>
      <c r="AG62" s="1705"/>
      <c r="AH62" s="1704"/>
      <c r="AI62" s="722"/>
      <c r="AJ62" s="1701"/>
      <c r="AK62" s="1703"/>
      <c r="AL62" s="1706"/>
      <c r="AM62" s="1706"/>
      <c r="AN62" s="1706"/>
      <c r="AO62" s="1707"/>
      <c r="AP62" s="1703"/>
      <c r="AQ62" s="1708"/>
      <c r="AR62" s="1709"/>
      <c r="AS62" s="1709"/>
      <c r="AT62" s="1704"/>
      <c r="AU62" s="722"/>
      <c r="AV62" s="1701"/>
      <c r="AW62" s="1703"/>
      <c r="AX62" s="1706"/>
      <c r="AY62" s="693"/>
      <c r="AZ62" s="1701"/>
      <c r="BB62" s="1699"/>
      <c r="BC62" s="746"/>
      <c r="BD62" s="1704"/>
      <c r="BE62" s="1710"/>
      <c r="BF62" s="1707"/>
      <c r="BG62" s="1704"/>
      <c r="BH62" s="1707"/>
      <c r="BI62" s="1710"/>
      <c r="BJ62" s="1704"/>
      <c r="BK62" s="1711"/>
      <c r="BL62" s="705"/>
      <c r="BM62" s="1697"/>
      <c r="BR62" s="1712"/>
      <c r="BS62" s="1713"/>
      <c r="BT62" s="1710"/>
      <c r="BU62" s="705"/>
      <c r="BV62" s="1694"/>
      <c r="BW62" s="1694"/>
      <c r="BX62" s="708"/>
      <c r="BY62" s="708"/>
      <c r="BZ62" s="745"/>
      <c r="CA62" s="1700"/>
      <c r="CB62" s="708"/>
      <c r="CD62" s="1701"/>
      <c r="CE62" s="1702"/>
      <c r="CF62" s="745"/>
    </row>
    <row r="63" spans="1:84" s="598" customFormat="1" x14ac:dyDescent="0.2">
      <c r="A63" s="745"/>
      <c r="B63" s="728"/>
      <c r="C63" s="745"/>
      <c r="D63" s="1694"/>
      <c r="E63" s="1695"/>
      <c r="F63" s="1696"/>
      <c r="J63" s="717"/>
      <c r="K63" s="717"/>
      <c r="L63" s="717"/>
      <c r="M63" s="717"/>
      <c r="N63" s="717"/>
      <c r="O63" s="717"/>
      <c r="P63" s="717"/>
      <c r="Q63" s="1694"/>
      <c r="R63" s="1694"/>
      <c r="S63" s="1697"/>
      <c r="T63" s="1697"/>
      <c r="U63" s="705"/>
      <c r="V63" s="1698"/>
      <c r="W63" s="704"/>
      <c r="X63" s="717"/>
      <c r="Y63" s="723"/>
      <c r="Z63" s="723"/>
      <c r="AA63" s="1699"/>
      <c r="AB63" s="1699"/>
      <c r="AC63" s="1703"/>
      <c r="AD63" s="1704"/>
      <c r="AE63" s="1705"/>
      <c r="AF63" s="1705"/>
      <c r="AG63" s="1705"/>
      <c r="AH63" s="1704"/>
      <c r="AI63" s="722"/>
      <c r="AJ63" s="1701"/>
      <c r="AK63" s="1703"/>
      <c r="AL63" s="1706"/>
      <c r="AM63" s="1706"/>
      <c r="AN63" s="1706"/>
      <c r="AO63" s="1707"/>
      <c r="AP63" s="1703"/>
      <c r="AQ63" s="1708"/>
      <c r="AR63" s="1709"/>
      <c r="AS63" s="1709"/>
      <c r="AT63" s="1704"/>
      <c r="AU63" s="722"/>
      <c r="AV63" s="1701"/>
      <c r="AW63" s="1703"/>
      <c r="AX63" s="1706"/>
      <c r="AY63" s="693"/>
      <c r="AZ63" s="1701"/>
      <c r="BB63" s="1699"/>
      <c r="BC63" s="746"/>
      <c r="BD63" s="1704"/>
      <c r="BE63" s="1710"/>
      <c r="BF63" s="1707"/>
      <c r="BG63" s="1704"/>
      <c r="BH63" s="1707"/>
      <c r="BI63" s="1710"/>
      <c r="BJ63" s="1704"/>
      <c r="BK63" s="1711"/>
      <c r="BL63" s="705"/>
      <c r="BM63" s="1697"/>
      <c r="BR63" s="1712"/>
      <c r="BS63" s="1713"/>
      <c r="BT63" s="1710"/>
      <c r="BU63" s="705"/>
      <c r="BV63" s="1694"/>
      <c r="BW63" s="1694"/>
      <c r="BX63" s="708"/>
      <c r="BY63" s="708"/>
      <c r="BZ63" s="745"/>
      <c r="CA63" s="1700"/>
      <c r="CB63" s="708"/>
      <c r="CD63" s="1701"/>
      <c r="CE63" s="1702"/>
      <c r="CF63" s="745"/>
    </row>
    <row r="64" spans="1:84" s="598" customFormat="1" x14ac:dyDescent="0.2">
      <c r="A64" s="745"/>
      <c r="B64" s="728"/>
      <c r="C64" s="745"/>
      <c r="D64" s="1694"/>
      <c r="E64" s="1695"/>
      <c r="F64" s="1696"/>
      <c r="J64" s="717"/>
      <c r="K64" s="717"/>
      <c r="L64" s="717"/>
      <c r="M64" s="717"/>
      <c r="N64" s="717"/>
      <c r="O64" s="717"/>
      <c r="P64" s="717"/>
      <c r="Q64" s="1694"/>
      <c r="R64" s="1694"/>
      <c r="S64" s="1697"/>
      <c r="T64" s="1697"/>
      <c r="U64" s="705"/>
      <c r="V64" s="1698"/>
      <c r="W64" s="704"/>
      <c r="X64" s="717"/>
      <c r="Y64" s="723"/>
      <c r="Z64" s="723"/>
      <c r="AA64" s="1699"/>
      <c r="AB64" s="1699"/>
      <c r="AC64" s="1703"/>
      <c r="AD64" s="1704"/>
      <c r="AE64" s="1705"/>
      <c r="AF64" s="1705"/>
      <c r="AG64" s="1705"/>
      <c r="AH64" s="1704"/>
      <c r="AI64" s="722"/>
      <c r="AJ64" s="1701"/>
      <c r="AK64" s="1703"/>
      <c r="AL64" s="1706"/>
      <c r="AM64" s="1706"/>
      <c r="AN64" s="1706"/>
      <c r="AO64" s="1707"/>
      <c r="AP64" s="1703"/>
      <c r="AQ64" s="1708"/>
      <c r="AR64" s="1709"/>
      <c r="AS64" s="1709"/>
      <c r="AT64" s="1704"/>
      <c r="AU64" s="722"/>
      <c r="AV64" s="1701"/>
      <c r="AW64" s="1703"/>
      <c r="AX64" s="1706"/>
      <c r="AY64" s="693"/>
      <c r="AZ64" s="1701"/>
      <c r="BB64" s="1699"/>
      <c r="BC64" s="746"/>
      <c r="BD64" s="1704"/>
      <c r="BE64" s="1710"/>
      <c r="BF64" s="1707"/>
      <c r="BG64" s="1704"/>
      <c r="BH64" s="1707"/>
      <c r="BI64" s="1710"/>
      <c r="BJ64" s="1704"/>
      <c r="BK64" s="1711"/>
      <c r="BL64" s="705"/>
      <c r="BM64" s="1697"/>
      <c r="BR64" s="1712"/>
      <c r="BS64" s="1713"/>
      <c r="BT64" s="1710"/>
      <c r="BU64" s="705"/>
      <c r="BV64" s="1694"/>
      <c r="BW64" s="1694"/>
      <c r="BX64" s="708"/>
      <c r="BY64" s="708"/>
      <c r="BZ64" s="745"/>
      <c r="CA64" s="1700"/>
      <c r="CB64" s="708"/>
      <c r="CD64" s="1701"/>
      <c r="CE64" s="1702"/>
      <c r="CF64" s="745"/>
    </row>
    <row r="65" spans="1:143" s="598" customFormat="1" x14ac:dyDescent="0.2">
      <c r="A65" s="745"/>
      <c r="B65" s="728"/>
      <c r="C65" s="745"/>
      <c r="D65" s="1694"/>
      <c r="E65" s="1695"/>
      <c r="F65" s="1696"/>
      <c r="J65" s="717"/>
      <c r="K65" s="717"/>
      <c r="L65" s="717"/>
      <c r="M65" s="717"/>
      <c r="N65" s="717"/>
      <c r="O65" s="717"/>
      <c r="P65" s="717"/>
      <c r="Q65" s="1694"/>
      <c r="R65" s="1694"/>
      <c r="S65" s="1697"/>
      <c r="T65" s="1697"/>
      <c r="U65" s="705"/>
      <c r="V65" s="1698"/>
      <c r="W65" s="704"/>
      <c r="X65" s="717"/>
      <c r="Y65" s="723"/>
      <c r="Z65" s="723"/>
      <c r="AA65" s="1699"/>
      <c r="AB65" s="1699"/>
      <c r="AC65" s="1703"/>
      <c r="AD65" s="1704"/>
      <c r="AE65" s="1705"/>
      <c r="AF65" s="1705"/>
      <c r="AG65" s="1705"/>
      <c r="AH65" s="1704"/>
      <c r="AI65" s="722"/>
      <c r="AJ65" s="1701"/>
      <c r="AK65" s="1703"/>
      <c r="AL65" s="1706"/>
      <c r="AM65" s="1706"/>
      <c r="AN65" s="1706"/>
      <c r="AO65" s="1707"/>
      <c r="AP65" s="1703"/>
      <c r="AQ65" s="1708"/>
      <c r="AR65" s="1709"/>
      <c r="AS65" s="1709"/>
      <c r="AT65" s="1704"/>
      <c r="AU65" s="722"/>
      <c r="AV65" s="1701"/>
      <c r="AW65" s="1703"/>
      <c r="AX65" s="1706"/>
      <c r="AY65" s="693"/>
      <c r="AZ65" s="1701"/>
      <c r="BB65" s="1699"/>
      <c r="BC65" s="746"/>
      <c r="BD65" s="1704"/>
      <c r="BE65" s="1710"/>
      <c r="BF65" s="1707"/>
      <c r="BG65" s="1704"/>
      <c r="BH65" s="1707"/>
      <c r="BI65" s="1710"/>
      <c r="BJ65" s="1704"/>
      <c r="BK65" s="1711"/>
      <c r="BL65" s="705"/>
      <c r="BM65" s="1697"/>
      <c r="BR65" s="1712"/>
      <c r="BS65" s="1713"/>
      <c r="BT65" s="1710"/>
      <c r="BU65" s="705"/>
      <c r="BV65" s="1694"/>
      <c r="BW65" s="1694"/>
      <c r="BX65" s="708"/>
      <c r="BY65" s="708"/>
      <c r="BZ65" s="745"/>
      <c r="CA65" s="1700"/>
      <c r="CB65" s="708"/>
      <c r="CD65" s="1701"/>
      <c r="CE65" s="1702"/>
      <c r="CF65" s="745"/>
    </row>
    <row r="66" spans="1:143" s="598" customFormat="1" ht="77.25" customHeight="1" x14ac:dyDescent="0.2">
      <c r="A66" s="745"/>
      <c r="B66" s="728"/>
      <c r="C66" s="745"/>
      <c r="D66" s="1694"/>
      <c r="E66" s="1695"/>
      <c r="F66" s="1696"/>
      <c r="J66" s="717"/>
      <c r="K66" s="717"/>
      <c r="L66" s="717"/>
      <c r="M66" s="717"/>
      <c r="N66" s="717"/>
      <c r="O66" s="717"/>
      <c r="P66" s="717"/>
      <c r="Q66" s="1694"/>
      <c r="R66" s="1694"/>
      <c r="S66" s="1697"/>
      <c r="T66" s="1697"/>
      <c r="U66" s="705"/>
      <c r="V66" s="1698"/>
      <c r="W66" s="704"/>
      <c r="X66" s="717"/>
      <c r="Y66" s="723"/>
      <c r="Z66" s="723"/>
      <c r="AA66" s="1699"/>
      <c r="AB66" s="1699"/>
      <c r="AC66" s="1703"/>
      <c r="AD66" s="1704"/>
      <c r="AE66" s="1705"/>
      <c r="AF66" s="1705"/>
      <c r="AG66" s="1705"/>
      <c r="AH66" s="1704"/>
      <c r="AI66" s="722"/>
      <c r="AJ66" s="1701"/>
      <c r="AK66" s="1703"/>
      <c r="AL66" s="1706"/>
      <c r="AM66" s="1706"/>
      <c r="AN66" s="1706"/>
      <c r="AO66" s="1707"/>
      <c r="AP66" s="1703"/>
      <c r="AQ66" s="1708"/>
      <c r="AR66" s="1709"/>
      <c r="AS66" s="1709"/>
      <c r="AT66" s="1704"/>
      <c r="AU66" s="722"/>
      <c r="AV66" s="1701"/>
      <c r="AW66" s="1703"/>
      <c r="AX66" s="1706"/>
      <c r="AY66" s="693"/>
      <c r="AZ66" s="1701"/>
      <c r="BB66" s="1699"/>
      <c r="BC66" s="746"/>
      <c r="BD66" s="1704"/>
      <c r="BE66" s="1710"/>
      <c r="BF66" s="1707"/>
      <c r="BG66" s="1704"/>
      <c r="BH66" s="1707"/>
      <c r="BI66" s="1710"/>
      <c r="BJ66" s="1704"/>
      <c r="BK66" s="1711"/>
      <c r="BL66" s="705"/>
      <c r="BM66" s="1697"/>
      <c r="BR66" s="1712"/>
      <c r="BS66" s="1713"/>
      <c r="BT66" s="1710"/>
      <c r="BU66" s="705"/>
      <c r="BV66" s="1694"/>
      <c r="BW66" s="1694"/>
      <c r="BX66" s="708"/>
      <c r="BY66" s="708"/>
      <c r="BZ66" s="745"/>
      <c r="CA66" s="1700"/>
      <c r="CB66" s="708"/>
      <c r="CD66" s="1701"/>
      <c r="CE66" s="1702"/>
      <c r="CF66" s="745"/>
    </row>
    <row r="67" spans="1:143" s="1733" customFormat="1" ht="16.5" customHeight="1" x14ac:dyDescent="0.2">
      <c r="A67" s="1714"/>
      <c r="B67" s="1715"/>
      <c r="C67" s="1716"/>
      <c r="D67" s="1717"/>
      <c r="E67" s="1717"/>
      <c r="F67" s="1717"/>
      <c r="G67" s="1717"/>
      <c r="H67" s="1717"/>
      <c r="I67" s="1717"/>
      <c r="J67" s="1717"/>
      <c r="K67" s="1717"/>
      <c r="L67" s="1717"/>
      <c r="M67" s="1717"/>
      <c r="N67" s="1717"/>
      <c r="O67" s="1717"/>
      <c r="P67" s="1717"/>
      <c r="Q67" s="1717"/>
      <c r="R67" s="1717"/>
      <c r="S67" s="1718"/>
      <c r="T67" s="1718"/>
      <c r="U67" s="1718"/>
      <c r="V67" s="1719"/>
      <c r="W67" s="1720"/>
      <c r="X67" s="1719"/>
      <c r="Y67" s="1721"/>
      <c r="Z67" s="1721"/>
      <c r="AA67" s="1722"/>
      <c r="AB67" s="1722"/>
      <c r="AC67" s="1723"/>
      <c r="AD67" s="1722"/>
      <c r="AE67" s="1722"/>
      <c r="AF67" s="1722"/>
      <c r="AG67" s="1722"/>
      <c r="AH67" s="1722"/>
      <c r="AI67" s="1723"/>
      <c r="AJ67" s="1722"/>
      <c r="AK67" s="1723"/>
      <c r="AL67" s="1722"/>
      <c r="AM67" s="1722"/>
      <c r="AN67" s="1722"/>
      <c r="AO67" s="1722"/>
      <c r="AP67" s="1723"/>
      <c r="AQ67" s="1723"/>
      <c r="AR67" s="1724"/>
      <c r="AS67" s="1722"/>
      <c r="AT67" s="1722"/>
      <c r="AU67" s="1723"/>
      <c r="AV67" s="1722"/>
      <c r="AW67" s="1723"/>
      <c r="AX67" s="1722"/>
      <c r="AY67" s="1722"/>
      <c r="AZ67" s="1722"/>
      <c r="BA67" s="1722"/>
      <c r="BB67" s="1722"/>
      <c r="BC67" s="1722"/>
      <c r="BD67" s="1722"/>
      <c r="BE67" s="1722"/>
      <c r="BF67" s="1722"/>
      <c r="BG67" s="1722"/>
      <c r="BH67" s="1722"/>
      <c r="BI67" s="1722"/>
      <c r="BJ67" s="1722"/>
      <c r="BK67" s="1722"/>
      <c r="BL67" s="1722"/>
      <c r="BM67" s="1722"/>
      <c r="BN67" s="1722"/>
      <c r="BO67" s="1722"/>
      <c r="BP67" s="1722"/>
      <c r="BQ67" s="1722"/>
      <c r="BR67" s="1722"/>
      <c r="BS67" s="1722"/>
      <c r="BT67" s="1722"/>
      <c r="BU67" s="1725"/>
      <c r="BV67" s="1726"/>
      <c r="BW67" s="1727"/>
      <c r="BX67" s="1714"/>
      <c r="BY67" s="1728"/>
      <c r="BZ67" s="1714"/>
      <c r="CA67" s="1729"/>
      <c r="CB67" s="1730"/>
      <c r="CC67" s="1731"/>
      <c r="CD67" s="1732"/>
      <c r="CE67" s="1714"/>
      <c r="CF67" s="1714"/>
      <c r="CW67" s="1734"/>
      <c r="CX67" s="1731"/>
      <c r="CY67" s="1735"/>
      <c r="CZ67" s="1736"/>
      <c r="DA67" s="1737"/>
      <c r="DB67" s="1738"/>
      <c r="DC67" s="1739"/>
      <c r="DD67" s="1737"/>
      <c r="DE67" s="1717"/>
      <c r="DF67" s="1721"/>
      <c r="DG67" s="1721"/>
      <c r="DH67" s="1739"/>
      <c r="DI67" s="1740"/>
      <c r="DJ67" s="1741"/>
    </row>
    <row r="68" spans="1:143" s="1762" customFormat="1" ht="18.75" customHeight="1" x14ac:dyDescent="0.2">
      <c r="A68" s="1742"/>
      <c r="B68" s="1743" t="s">
        <v>360</v>
      </c>
      <c r="C68" s="1743"/>
      <c r="D68" s="1744"/>
      <c r="E68" s="1745" t="s">
        <v>542</v>
      </c>
      <c r="F68" s="1746"/>
      <c r="G68" s="1747"/>
      <c r="H68" s="1747"/>
      <c r="I68" s="1747"/>
      <c r="J68" s="1742"/>
      <c r="K68" s="1742"/>
      <c r="L68" s="1742"/>
      <c r="M68" s="1742"/>
      <c r="N68" s="1742"/>
      <c r="O68" s="1742"/>
      <c r="P68" s="1742"/>
      <c r="Q68" s="1744"/>
      <c r="R68" s="1748"/>
      <c r="S68" s="1749"/>
      <c r="T68" s="1750"/>
      <c r="U68" s="1750"/>
      <c r="V68" s="1750"/>
      <c r="W68" s="1751"/>
      <c r="X68" s="1752"/>
      <c r="Y68" s="1749"/>
      <c r="Z68" s="1752"/>
      <c r="AA68" s="1752"/>
      <c r="AB68" s="1753"/>
      <c r="AC68" s="1749"/>
      <c r="AD68" s="1749"/>
      <c r="AE68" s="1751"/>
      <c r="AF68" s="1754"/>
      <c r="AG68" s="1749"/>
      <c r="AH68" s="1755"/>
      <c r="AI68" s="1756"/>
      <c r="AJ68" s="1757"/>
      <c r="AK68" s="1758"/>
      <c r="AL68" s="1759"/>
      <c r="AM68" s="1760"/>
      <c r="AN68" s="1761"/>
      <c r="AP68" s="1763"/>
      <c r="AQ68" s="1764"/>
      <c r="AR68" s="1754"/>
      <c r="AS68" s="1749"/>
      <c r="AT68" s="1765"/>
      <c r="AU68" s="1766"/>
      <c r="AV68" s="1767"/>
      <c r="AW68" s="1764"/>
      <c r="AX68" s="1768"/>
      <c r="AY68" s="1769"/>
      <c r="AZ68" s="1770"/>
      <c r="BA68" s="1742"/>
      <c r="BB68" s="1771"/>
      <c r="BC68" s="1772"/>
      <c r="BD68" s="1773"/>
      <c r="BE68" s="1771"/>
      <c r="BF68" s="1774"/>
      <c r="BG68" s="1775"/>
      <c r="BH68" s="1773"/>
      <c r="BI68" s="1773"/>
      <c r="BJ68" s="1776"/>
      <c r="BQ68" s="1771"/>
      <c r="BR68" s="1777"/>
      <c r="BS68" s="1773"/>
      <c r="BV68" s="1773"/>
      <c r="BW68" s="1743"/>
      <c r="BX68" s="1742"/>
      <c r="BY68" s="1749"/>
      <c r="BZ68" s="1778"/>
      <c r="CA68" s="1742"/>
      <c r="CB68" s="1779"/>
      <c r="CC68" s="1779"/>
      <c r="CD68" s="1780"/>
      <c r="CE68" s="1781"/>
      <c r="CF68" s="1742"/>
      <c r="CG68" s="1742"/>
      <c r="CX68" s="1782"/>
      <c r="CY68" s="1780"/>
      <c r="CZ68" s="1770"/>
      <c r="DA68" s="1783"/>
      <c r="DB68" s="1771"/>
      <c r="DC68" s="1772"/>
      <c r="DD68" s="1773"/>
      <c r="DE68" s="1771"/>
      <c r="DF68" s="1774"/>
      <c r="DG68" s="1752"/>
      <c r="DH68" s="1752"/>
      <c r="DI68" s="1773"/>
      <c r="DJ68" s="1784"/>
      <c r="DK68" s="1776"/>
    </row>
    <row r="69" spans="1:143" s="1661" customFormat="1" ht="27" customHeight="1" x14ac:dyDescent="0.2">
      <c r="A69" s="1626">
        <v>30</v>
      </c>
      <c r="B69" s="1627">
        <v>1</v>
      </c>
      <c r="C69" s="1626">
        <v>14</v>
      </c>
      <c r="D69" s="1626" t="str">
        <f>IF(F69="Nam","Ông","Bà")</f>
        <v>Ông</v>
      </c>
      <c r="E69" s="1628" t="s">
        <v>287</v>
      </c>
      <c r="F69" s="1629" t="s">
        <v>378</v>
      </c>
      <c r="G69" s="1630" t="s">
        <v>371</v>
      </c>
      <c r="H69" s="1630" t="s">
        <v>359</v>
      </c>
      <c r="I69" s="1630">
        <v>8</v>
      </c>
      <c r="J69" s="599" t="s">
        <v>359</v>
      </c>
      <c r="K69" s="599">
        <v>1980</v>
      </c>
      <c r="L69" s="599"/>
      <c r="M69" s="599" t="s">
        <v>455</v>
      </c>
      <c r="N69" s="599"/>
      <c r="O69" s="599" t="e">
        <f>IF(AND((Q69+0)&gt;0.3,(Q69+0)&lt;1.5),"CVụ","- -")</f>
        <v>#N/A</v>
      </c>
      <c r="P69" s="599"/>
      <c r="Q69" s="1628" t="e">
        <f>VLOOKUP(P69,'[3]- DLiêu Gốc -'!$C$2:$H$115,2,0)</f>
        <v>#N/A</v>
      </c>
      <c r="R69" s="1631" t="s">
        <v>364</v>
      </c>
      <c r="S69" s="601" t="s">
        <v>106</v>
      </c>
      <c r="T69" s="1632" t="str">
        <f>VLOOKUP(Y69,'[3]- DLiêu Gốc -'!$C$2:$H$60,5,0)</f>
        <v>A1</v>
      </c>
      <c r="U69" s="1632" t="str">
        <f>VLOOKUP(Y69,'[3]- DLiêu Gốc -'!$C$2:$H$60,6,0)</f>
        <v>- - -</v>
      </c>
      <c r="V69" s="1632" t="s">
        <v>425</v>
      </c>
      <c r="W69" s="1633" t="str">
        <f>IF(OR(Y69="Kỹ thuật viên đánh máy",Y69="Nhân viên đánh máy",Y69="Nhân viên kỹ thuật",Y69="Nhân viên văn thư",Y69="Nhân viên phục vụ",Y69="Lái xe cơ quan",Y69="Nhân viên bảo vệ"),"Nhân viên",Y69)</f>
        <v>Chuyên viên</v>
      </c>
      <c r="X69" s="640" t="str">
        <f>IF(W69="Nhân viên","01.005",Z69)</f>
        <v>01.003</v>
      </c>
      <c r="Y69" s="601" t="s">
        <v>339</v>
      </c>
      <c r="Z69" s="640" t="str">
        <f>VLOOKUP(Y69,'[3]- DLiêu Gốc -'!$C$1:$H$133,2,0)</f>
        <v>01.003</v>
      </c>
      <c r="AA69" s="640" t="e">
        <f>IF(OR(AND(BB69=36,BA69=3),AND(BB69=24,BA69=2),AND(BB69=12,BA69=1)),"Đến $",IF(OR(AND(BB69&gt;36,BA69=3),AND(BB69&gt;24,BA69=2),AND(BB69&gt;12,BA69=1)),"Dừng $","Lương"))</f>
        <v>#REF!</v>
      </c>
      <c r="AB69" s="1634">
        <v>5</v>
      </c>
      <c r="AC69" s="635" t="str">
        <f>IF(AD69&gt;0,"/")</f>
        <v>/</v>
      </c>
      <c r="AD69" s="635">
        <f>IF(OR(BF69=0.18,BF69=0.2),12,IF(BF69=0.31,10,IF(BF69=0.33,9,IF(BF69=0.34,8,IF(BF69=0.36,6)))))</f>
        <v>9</v>
      </c>
      <c r="AE69" s="1635">
        <f>BE69+(AB69-1)*BF69</f>
        <v>3.66</v>
      </c>
      <c r="AF69" s="1636"/>
      <c r="AG69" s="601"/>
      <c r="AH69" s="1637" t="s">
        <v>341</v>
      </c>
      <c r="AI69" s="606" t="s">
        <v>359</v>
      </c>
      <c r="AJ69" s="1669" t="s">
        <v>342</v>
      </c>
      <c r="AK69" s="1639" t="s">
        <v>359</v>
      </c>
      <c r="AL69" s="1640">
        <v>2015</v>
      </c>
      <c r="AM69" s="1641"/>
      <c r="AN69" s="1642"/>
      <c r="AO69" s="1643">
        <f>AB69+1</f>
        <v>6</v>
      </c>
      <c r="AP69" s="1644" t="str">
        <f>IF(AD69=AB69,"%",IF(AD69&gt;AB69,"/"))</f>
        <v>/</v>
      </c>
      <c r="AQ69" s="1645">
        <f>IF(AND(AD69=AB69,AO69=4),5,IF(AND(AD69=AB69,AO69&gt;4),AO69+1,IF(AD69&gt;AB69,AD69)))</f>
        <v>9</v>
      </c>
      <c r="AR69" s="1646">
        <f>IF(AD69=AB69,"%",IF(AD69&gt;AB69,AE69+BF69))</f>
        <v>3.99</v>
      </c>
      <c r="AS69" s="601"/>
      <c r="AT69" s="1647" t="s">
        <v>341</v>
      </c>
      <c r="AU69" s="1648" t="s">
        <v>359</v>
      </c>
      <c r="AV69" s="1638" t="s">
        <v>342</v>
      </c>
      <c r="AW69" s="1645" t="s">
        <v>359</v>
      </c>
      <c r="AX69" s="1649">
        <v>2018</v>
      </c>
      <c r="AY69" s="1650" t="s">
        <v>418</v>
      </c>
      <c r="AZ69" s="1641"/>
      <c r="BA69" s="1651">
        <f>IF(AND(AD69&gt;AB69,OR(BF69=0.18,BF69=0.2)),2,IF(AND(AD69&gt;AB69,OR(BF69=0.31,BF69=0.33,BF69=0.34,BF69=0.36)),3,IF(AD69=AB69,1)))</f>
        <v>3</v>
      </c>
      <c r="BB69" s="1652" t="e">
        <f>12*($AA$2-#REF!)+($AA$3-AV69)-BC69</f>
        <v>#REF!</v>
      </c>
      <c r="BC69" s="1653"/>
      <c r="BD69" s="1653"/>
      <c r="BE69" s="1654">
        <f>VLOOKUP(Y69,'[3]- DLiêu Gốc -'!$C$1:$F$60,3,0)</f>
        <v>2.34</v>
      </c>
      <c r="BF69" s="1655">
        <f>VLOOKUP(Y69,'[3]- DLiêu Gốc -'!$C$1:$F$60,4,0)</f>
        <v>0.33</v>
      </c>
      <c r="BG69" s="1656" t="str">
        <f>IF(AND(BH69&gt;3,BZ69=12),"Đến %",IF(AND(BH69&gt;3,BZ69&gt;12,BZ69&lt;120),"Dừng %",IF(AND(BH69&gt;3,BZ69&lt;12),"PCTN","o-o-o")))</f>
        <v>o-o-o</v>
      </c>
      <c r="BH69" s="1657"/>
      <c r="BI69" s="1658"/>
      <c r="BJ69" s="1659"/>
      <c r="BK69" s="1658"/>
      <c r="BL69" s="1642"/>
      <c r="BM69" s="1565"/>
      <c r="BN69" s="1566"/>
      <c r="BO69" s="1655"/>
      <c r="BP69" s="1656"/>
      <c r="BQ69" s="1657"/>
      <c r="BR69" s="1658"/>
      <c r="BS69" s="1659"/>
      <c r="BT69" s="1658"/>
      <c r="BU69" s="1642"/>
      <c r="BV69" s="608"/>
      <c r="BW69" s="1641"/>
      <c r="BX69" s="1654"/>
      <c r="BY69" s="1654"/>
      <c r="BZ69" s="1642" t="str">
        <f>IF(BH69&gt;3,(($BG$2-BU69)*12+($BG$3-BS69)-BW69),"- - -")</f>
        <v>- - -</v>
      </c>
      <c r="CA69" s="1660" t="str">
        <f>IF(AND(CW69="Hưu",BH69&gt;3),12-(12*(DC69-BU69)+(DB69-BS69))-BW69,"- - -")</f>
        <v>- - -</v>
      </c>
      <c r="CB69" s="1652" t="str">
        <f>IF(OR(S69="Ban Tổ chức - Cán bộ",S69="Văn phòng Học viện",S69="Phó Giám đốc Thường trực Học viện",S69="Phó Giám đốc Học viện"),"Chánh Văn phòng Học viện, Trưởng Ban Tổ chức - Cán bộ",IF(OR(S69="Trung tâm Ngoại ngữ",S69="Trung tâm Tin học hành chính và Công nghệ thông tin",S69="Trung tâm Tin học - Thư viện",S69="Phân viện khu vực Tây Nguyên"),"Chánh Văn phòng Học viện, Trưởng Ban Tổ chức - Cán bộ, "&amp;CONCATENATE("Giám đốc ",S69),IF(S69="Tạp chí Quản lý nhà nước","Chánh Văn phòng Học viện, Trưởng Ban Tổ chức - Cán bộ, "&amp;CONCATENATE("Tổng Biên tập ",S69),IF(S69="Văn phòng Đảng uỷ Học viện","Chánh Văn phòng Học viện, Trưởng Ban Tổ chức - Cán bộ, "&amp;CONCATENATE("Chánh",S69),IF(S69="Viện Nghiên cứu Khoa học hành chính","Chánh Văn phòng Học viện, Trưởng Ban Tổ chức - Cán bộ, "&amp;CONCATENATE("Viện Trưởng ",S69),IF(OR(S69="Cơ sở Học viện Hành chính Quốc gia khu vực miền Trung",S69="Cơ sở Học viện Hành chính Quốc gia tại Thành phố Hồ Chí Minh"),"Chánh Văn phòng Học viện, Trưởng Ban Tổ chức - Cán bộ, "&amp;CONCATENATE("Thủ trưởng ",S69),"Chánh Văn phòng Học viện, Trưởng Ban Tổ chức - Cán bộ, "&amp;CONCATENATE("Trưởng ",S69)))))))</f>
        <v>Chánh Văn phòng Học viện, Trưởng Ban Tổ chức - Cán bộ, Trưởng Ban Đào tạo</v>
      </c>
      <c r="CC69" s="1652" t="str">
        <f>IF(S69="Cơ sở Học viện Hành chính khu vực miền Trung","B",IF(S69="Phân viện Khu vực Tây Nguyên","C",IF(S69="Cơ sở Học viện Hành chính tại thành phố Hồ Chí Minh","D","A")))</f>
        <v>A</v>
      </c>
      <c r="CD69" s="1626" t="e">
        <f>IF(AND(AO69&gt;0,AB69&lt;(AD69-1),CE69&gt;0,CE69&lt;13,OR(AND(CK69="Cùg Ng",($CD$2-CG69)&gt;BA69),CK69="- - -")),"Sớm TT","=&gt; s")</f>
        <v>#REF!</v>
      </c>
      <c r="CE69" s="1626" t="e">
        <f>IF(BA69=3,36-(12*($CD$2-#REF!)+(12-AV69)-BC69),IF(BA69=2,24-(12*($CD$2-#REF!)+(12-AV69)-BC69),"---"))</f>
        <v>#REF!</v>
      </c>
      <c r="CF69" s="1661" t="str">
        <f>IF(CG69&gt;1,"S","---")</f>
        <v>---</v>
      </c>
      <c r="CG69" s="1626"/>
      <c r="CI69" s="1626"/>
      <c r="CJ69" s="1641"/>
      <c r="CK69" s="1641" t="str">
        <f>IF(X69=CH69,"Cùg Ng","- - -")</f>
        <v>- - -</v>
      </c>
      <c r="CL69" s="1626" t="str">
        <f>IF(CN69&gt;2000,"NN","- - -")</f>
        <v>- - -</v>
      </c>
      <c r="CM69" s="1641"/>
      <c r="CN69" s="1641"/>
      <c r="CO69" s="1641"/>
      <c r="CP69" s="1641"/>
      <c r="CQ69" s="1626" t="str">
        <f>IF(CS69&gt;2000,"CN","- - -")</f>
        <v>- - -</v>
      </c>
      <c r="CR69" s="1641"/>
      <c r="CS69" s="1641"/>
      <c r="CT69" s="1662"/>
      <c r="CU69" s="1574"/>
      <c r="CV69" s="1661" t="str">
        <f>IF(AND(CW69="Hưu",AB69&lt;(AD69-1),DD69&gt;0,DD69&lt;18,OR(BH69&lt;4,AND(BH69&gt;3,OR(CA69&lt;3,CA69&gt;5)))),"Lg Sớm",IF(AND(CW69="Hưu",AB69&gt;(AD69-2),OR(BF69=0.33,BF69=0.34),OR(BH69&lt;4,AND(BH69&gt;3,OR(CA69&lt;3,CA69&gt;5)))),"Nâng Ngạch",IF(AND(CW69="Hưu",BA69=1,DD69&gt;2,DD69&lt;6,OR(BH69&lt;4,AND(BH69&gt;3,OR(CA69&lt;3,CA69&gt;5)))),"Nâng PcVK cùng QĐ",IF(AND(CW69="Hưu",BH69&gt;3,CA69&gt;2,CA69&lt;6,AB69&lt;(AD69-1),DD69&gt;17,OR(BA69&gt;1,AND(BA69=1,OR(DD69&lt;3,DD69&gt;5)))),"Nâng PcNG cùng QĐ",IF(AND(CW69="Hưu",AB69&lt;(AD69-1),DD69&gt;0,DD69&lt;18,BH69&gt;3,CA69&gt;2,CA69&lt;6),"Nâng Lg Sớm +(PcNG cùng QĐ)",IF(AND(CW69="Hưu",AB69&gt;(AD69-2),OR(BF69=0.33,BF69=0.34),BH69&gt;3,CA69&gt;2,CA69&lt;6),"Nâng Ngạch +(PcNG cùng QĐ)",IF(AND(CW69="Hưu",BA69=1,DD69&gt;2,DD69&lt;6,BH69&gt;3,CA69&gt;2,CA69&lt;6),"Nâng (PcVK +PcNG) cùng QĐ",("---"))))))))</f>
        <v>---</v>
      </c>
      <c r="CW69" s="1661" t="str">
        <f>IF(AND(DH69&gt;DG69,DH69&lt;(DG69+13)),"Hưu",IF(AND(DH69&gt;(DG69+12),DH69&lt;1000),"Quá","/-/ /-/"))</f>
        <v>/-/ /-/</v>
      </c>
      <c r="CX69" s="1661">
        <f>IF((I69+0)&lt;12,(I69+0)+1,IF((I69+0)=12,1,IF((I69+0)&gt;12,(I69+0)-12)))</f>
        <v>9</v>
      </c>
      <c r="CY69" s="1661">
        <f>IF(OR((I69+0)=12,(I69+0)&gt;12),K69+DG69/12+1,IF(AND((I69+0)&gt;0,(I69+0)&lt;12),K69+DG69/12,"---"))</f>
        <v>2040</v>
      </c>
      <c r="CZ69" s="1661">
        <f>IF(AND(CX69&gt;3,CX69&lt;13),CX69-3,IF(CX69&lt;4,CX69-3+12))</f>
        <v>6</v>
      </c>
      <c r="DA69" s="1661">
        <f>IF(CZ69&lt;CX69,CY69,IF(CZ69&gt;CX69,CY69-1))</f>
        <v>2040</v>
      </c>
      <c r="DB69" s="1663">
        <f>IF(CX69&gt;6,CX69-6,IF(CX69=6,12,IF(CX69&lt;6,CX69+6)))</f>
        <v>3</v>
      </c>
      <c r="DC69" s="1664">
        <f>IF(CX69&gt;6,CY69,IF(CX69&lt;7,CY69-1))</f>
        <v>2040</v>
      </c>
      <c r="DD69" s="1664" t="str">
        <f>IF(AND(CW69="Hưu",BA69=3),36+BC69-(12*(DC69-#REF!)+(DB69-AV69)),IF(AND(CW69="Hưu",BA69=2),24+BC69-(12*(DC69-#REF!)+(DB69-AV69)),IF(AND(CW69="Hưu",BA69=1),12+BC69-(12*(DC69-#REF!)+(DB69-AV69)),"- - -")))</f>
        <v>- - -</v>
      </c>
      <c r="DE69" s="1652" t="str">
        <f>IF(DF69&gt;0,"K.Dài",". .")</f>
        <v>. .</v>
      </c>
      <c r="DF69" s="1652"/>
      <c r="DG69" s="1652">
        <f>IF(F69="Nam",(60+DF69)*12,IF(F69="Nữ",(55+DF69)*12,))</f>
        <v>720</v>
      </c>
      <c r="DH69" s="1652">
        <f>12*($CW$4-K69)+(12-I69)</f>
        <v>-23756</v>
      </c>
      <c r="DI69" s="1652">
        <f>$DM$4-K69</f>
        <v>-1980</v>
      </c>
      <c r="DJ69" s="1652" t="str">
        <f>IF(AND(DI69&lt;35,F69="Nam"),"Nam dưới 35",IF(AND(DI69&lt;30,F69="Nữ"),"Nữ dưới 30",IF(AND(DI69&gt;34,DI69&lt;46,F69="Nam"),"Nam từ 35 - 45",IF(AND(DI69&gt;29,DI69&lt;41,F69="Nữ"),"Nữ từ 30 - 40",IF(AND(DI69&gt;45,DI69&lt;56,F69="Nam"),"Nam trên 45 - 55",IF(AND(DI69&gt;40,DI69&lt;51,F69="Nữ"),"Nữ trên 40 - 50",IF(AND(DI69&gt;55,F69="Nam"),"Nam trên 55","Nữ trên 50")))))))</f>
        <v>Nam dưới 35</v>
      </c>
      <c r="DK69" s="1654"/>
      <c r="DL69" s="1641"/>
      <c r="DM69" s="1626" t="str">
        <f>IF(DI69&lt;31,"Đến 30",IF(AND(DI69&gt;30,DI69&lt;46),"31 - 45",IF(AND(DI69&gt;45,DI69&lt;70),"Trên 45")))</f>
        <v>Đến 30</v>
      </c>
      <c r="DN69" s="1626" t="str">
        <f>IF(DO69&gt;0,"TD","--")</f>
        <v>TD</v>
      </c>
      <c r="DO69" s="1626">
        <v>2009</v>
      </c>
      <c r="DP69" s="1626"/>
      <c r="DQ69" s="1641"/>
      <c r="DR69" s="1641"/>
      <c r="DS69" s="1665"/>
      <c r="DT69" s="1666"/>
      <c r="DU69" s="1642"/>
      <c r="DV69" s="1665"/>
      <c r="DW69" s="1637"/>
      <c r="DX69" s="1667" t="s">
        <v>364</v>
      </c>
      <c r="DY69" s="1667" t="s">
        <v>341</v>
      </c>
      <c r="DZ69" s="1667" t="s">
        <v>359</v>
      </c>
      <c r="EA69" s="1668" t="s">
        <v>342</v>
      </c>
      <c r="EB69" s="1667" t="s">
        <v>359</v>
      </c>
      <c r="EC69" s="1626" t="s">
        <v>379</v>
      </c>
      <c r="ED69" s="1637">
        <f>(DY69+0)-(EF69+0)</f>
        <v>0</v>
      </c>
      <c r="EE69" s="1667" t="str">
        <f>IF(ED69&gt;0,"Sửa","- - -")</f>
        <v>- - -</v>
      </c>
      <c r="EF69" s="1667" t="s">
        <v>341</v>
      </c>
      <c r="EG69" s="1667" t="s">
        <v>359</v>
      </c>
      <c r="EH69" s="1668" t="s">
        <v>342</v>
      </c>
      <c r="EI69" s="1626" t="s">
        <v>359</v>
      </c>
      <c r="EJ69" s="1641" t="s">
        <v>379</v>
      </c>
      <c r="EK69" s="1663"/>
      <c r="EL69" s="1642" t="str">
        <f>IF(AND(BF69&gt;0.34,AO69=1,OR(BE69=6.2,BE69=5.75)),((BE69-EK69)-2*0.34),IF(AND(BF69&gt;0.33,AO69=1,OR(BE69=4.4,BE69=4)),((BE69-EK69)-2*0.33),"- - -"))</f>
        <v>- - -</v>
      </c>
      <c r="EM69" s="1661" t="str">
        <f>IF(CW69="Hưu",12*(DC69-#REF!)+(DB69-AV69),"---")</f>
        <v>---</v>
      </c>
    </row>
    <row r="70" spans="1:143" s="1762" customFormat="1" ht="18.75" customHeight="1" x14ac:dyDescent="0.2">
      <c r="A70" s="1742"/>
      <c r="B70" s="1743" t="s">
        <v>300</v>
      </c>
      <c r="C70" s="1743"/>
      <c r="D70" s="1744"/>
      <c r="E70" s="1745" t="s">
        <v>543</v>
      </c>
      <c r="F70" s="1746"/>
      <c r="G70" s="1747"/>
      <c r="H70" s="1747"/>
      <c r="I70" s="1747"/>
      <c r="J70" s="1742"/>
      <c r="K70" s="1742"/>
      <c r="L70" s="1742"/>
      <c r="M70" s="1742"/>
      <c r="N70" s="1742"/>
      <c r="O70" s="1742"/>
      <c r="P70" s="1742"/>
      <c r="Q70" s="1744"/>
      <c r="R70" s="1748"/>
      <c r="S70" s="1749"/>
      <c r="T70" s="1750"/>
      <c r="U70" s="1750"/>
      <c r="V70" s="1750"/>
      <c r="W70" s="1751"/>
      <c r="X70" s="1752"/>
      <c r="Y70" s="1749"/>
      <c r="Z70" s="1752"/>
      <c r="AA70" s="1752"/>
      <c r="AB70" s="1753"/>
      <c r="AC70" s="1749"/>
      <c r="AD70" s="1749"/>
      <c r="AE70" s="1751"/>
      <c r="AF70" s="1754"/>
      <c r="AG70" s="1749"/>
      <c r="AH70" s="1755"/>
      <c r="AI70" s="1756"/>
      <c r="AJ70" s="1757"/>
      <c r="AK70" s="1758"/>
      <c r="AL70" s="1759"/>
      <c r="AM70" s="1760"/>
      <c r="AN70" s="1761"/>
      <c r="AP70" s="1763"/>
      <c r="AQ70" s="1764"/>
      <c r="AR70" s="1754"/>
      <c r="AS70" s="1749"/>
      <c r="AT70" s="1765"/>
      <c r="AU70" s="1766"/>
      <c r="AV70" s="1767"/>
      <c r="AW70" s="1764"/>
      <c r="AX70" s="1768"/>
      <c r="AY70" s="1769"/>
      <c r="AZ70" s="1770"/>
      <c r="BA70" s="1742"/>
      <c r="BB70" s="1771"/>
      <c r="BC70" s="1772"/>
      <c r="BD70" s="1773"/>
      <c r="BE70" s="1771"/>
      <c r="BF70" s="1774"/>
      <c r="BG70" s="1775"/>
      <c r="BH70" s="1773"/>
      <c r="BI70" s="1773"/>
      <c r="BJ70" s="1776"/>
      <c r="BQ70" s="1771"/>
      <c r="BR70" s="1777"/>
      <c r="BS70" s="1773"/>
      <c r="BV70" s="1773"/>
      <c r="BW70" s="1743"/>
      <c r="BX70" s="1742"/>
      <c r="BY70" s="1749"/>
      <c r="BZ70" s="1778"/>
      <c r="CA70" s="1742"/>
      <c r="CB70" s="1779"/>
      <c r="CC70" s="1779"/>
      <c r="CD70" s="1780"/>
      <c r="CE70" s="1781"/>
      <c r="CF70" s="1742"/>
      <c r="CG70" s="1742"/>
      <c r="CX70" s="1782"/>
      <c r="CY70" s="1780"/>
      <c r="CZ70" s="1770"/>
      <c r="DA70" s="1783"/>
      <c r="DB70" s="1771"/>
      <c r="DC70" s="1772"/>
      <c r="DD70" s="1773"/>
      <c r="DE70" s="1771"/>
      <c r="DF70" s="1774"/>
      <c r="DG70" s="1752"/>
      <c r="DH70" s="1752"/>
      <c r="DI70" s="1773"/>
      <c r="DJ70" s="1784"/>
      <c r="DK70" s="1776"/>
    </row>
    <row r="71" spans="1:143" s="1762" customFormat="1" ht="32.25" customHeight="1" x14ac:dyDescent="0.2">
      <c r="A71" s="1742">
        <v>132</v>
      </c>
      <c r="B71" s="1743">
        <v>1</v>
      </c>
      <c r="C71" s="1743">
        <v>128</v>
      </c>
      <c r="D71" s="1744" t="str">
        <f>IF(F71="Nam","Ông","Bà")</f>
        <v>Bà</v>
      </c>
      <c r="E71" s="1744" t="s">
        <v>65</v>
      </c>
      <c r="F71" s="1746" t="s">
        <v>380</v>
      </c>
      <c r="G71" s="1747" t="s">
        <v>275</v>
      </c>
      <c r="H71" s="1747" t="s">
        <v>359</v>
      </c>
      <c r="I71" s="1747" t="s">
        <v>344</v>
      </c>
      <c r="J71" s="1742" t="s">
        <v>359</v>
      </c>
      <c r="K71" s="1742" t="s">
        <v>323</v>
      </c>
      <c r="L71" s="1742"/>
      <c r="M71" s="1742" t="s">
        <v>455</v>
      </c>
      <c r="N71" s="1742"/>
      <c r="O71" s="1742"/>
      <c r="P71" s="1742"/>
      <c r="Q71" s="1744" t="e">
        <f>VLOOKUP(P71,'[3]- DLiêu Gốc -'!$C$2:$H$133,2,0)</f>
        <v>#N/A</v>
      </c>
      <c r="R71" s="1748" t="s">
        <v>128</v>
      </c>
      <c r="S71" s="1749" t="s">
        <v>137</v>
      </c>
      <c r="T71" s="1750" t="str">
        <f>VLOOKUP(Y71,'[3]- DLiêu Gốc -'!$C$2:$H$60,5,0)</f>
        <v>A1</v>
      </c>
      <c r="U71" s="1750" t="str">
        <f>VLOOKUP(Y71,'[3]- DLiêu Gốc -'!$C$2:$H$60,6,0)</f>
        <v>- - -</v>
      </c>
      <c r="V71" s="1750" t="s">
        <v>425</v>
      </c>
      <c r="W71" s="1751" t="str">
        <f>IF(OR(Y71="Kỹ thuật viên đánh máy",Y71="Nhân viên đánh máy",Y71="Nhân viên kỹ thuật",Y71="Nhân viên văn thư",Y71="Nhân viên phục vụ",Y71="Lái xe cơ quan",Y71="Nhân viên bảo vệ"),"Nhân viên",Y71)</f>
        <v>Kế toán viên</v>
      </c>
      <c r="X71" s="1752" t="str">
        <f>IF(W71="Nhân viên","01.005",Z71)</f>
        <v>06.031</v>
      </c>
      <c r="Y71" s="1749" t="s">
        <v>340</v>
      </c>
      <c r="Z71" s="1752" t="str">
        <f>VLOOKUP(Y71,'[3]- DLiêu Gốc -'!$C$1:$H$133,2,0)</f>
        <v>06.031</v>
      </c>
      <c r="AA71" s="1752" t="str">
        <f>IF(OR(AND(AZ71=36,AY71=3),AND(AZ71=24,AY71=2),AND(AZ71=12,AY71=1)),"Đến $",IF(OR(AND(AZ71&gt;36,AY71=3),AND(AZ71&gt;24,AY71=2),AND(AZ71&gt;12,AY71=1)),"Dừng $","Lương"))</f>
        <v>Lương</v>
      </c>
      <c r="AB71" s="1753">
        <v>9</v>
      </c>
      <c r="AC71" s="1749" t="str">
        <f>IF(AD71&gt;0,"/")</f>
        <v>/</v>
      </c>
      <c r="AD71" s="1749">
        <f>IF(OR(BD71=0.18,BD71=0.2),12,IF(BD71=0.31,10,IF(BD71=0.33,9,IF(BD71=0.34,8,IF(BD71=0.36,6)))))</f>
        <v>9</v>
      </c>
      <c r="AE71" s="1751">
        <f>BC71+(AB71-1)*BD71</f>
        <v>4.9800000000000004</v>
      </c>
      <c r="AF71" s="1754">
        <v>5</v>
      </c>
      <c r="AG71" s="1749" t="str">
        <f>IF(AD71=AB71,"%",IF(AD71&gt;AB71,"/"))</f>
        <v>%</v>
      </c>
      <c r="AH71" s="1755" t="s">
        <v>341</v>
      </c>
      <c r="AI71" s="1756" t="s">
        <v>359</v>
      </c>
      <c r="AJ71" s="1757">
        <v>11</v>
      </c>
      <c r="AK71" s="1758" t="s">
        <v>359</v>
      </c>
      <c r="AL71" s="1759">
        <v>2016</v>
      </c>
      <c r="AM71" s="1760"/>
      <c r="AN71" s="1761"/>
      <c r="AP71" s="1763"/>
      <c r="AQ71" s="1764"/>
      <c r="AR71" s="1754">
        <f>IF(AND(AD71=AB71,AF71=4),5,IF(AND(AD71=AB71,AF71&gt;4),AF71+1,IF(AD71&gt;AB71,AD71)))</f>
        <v>6</v>
      </c>
      <c r="AS71" s="1749" t="str">
        <f>IF(AD71=AB71,"%",IF(AD71&gt;AB71,AE71+BD71))</f>
        <v>%</v>
      </c>
      <c r="AT71" s="1765" t="s">
        <v>341</v>
      </c>
      <c r="AU71" s="1766" t="s">
        <v>359</v>
      </c>
      <c r="AV71" s="1767">
        <v>11</v>
      </c>
      <c r="AW71" s="1764" t="s">
        <v>359</v>
      </c>
      <c r="AX71" s="1768">
        <v>2017</v>
      </c>
      <c r="AY71" s="1769"/>
      <c r="AZ71" s="1770">
        <f>12*($AA$2-AV71)+($AA$4-AT71)-BA71</f>
        <v>-133</v>
      </c>
      <c r="BA71" s="1742"/>
      <c r="BB71" s="1771"/>
      <c r="BC71" s="1772">
        <f>VLOOKUP(Y71,'[3]- DLiêu Gốc -'!$C$1:$F$60,3,0)</f>
        <v>2.34</v>
      </c>
      <c r="BD71" s="1773">
        <f>VLOOKUP(Y71,'[3]- DLiêu Gốc -'!$C$1:$F$60,4,0)</f>
        <v>0.33</v>
      </c>
      <c r="BE71" s="1771"/>
      <c r="BF71" s="1774" t="e">
        <f>IF(AND(#REF!&gt;3,BQ71=12),"Đến %",IF(AND(#REF!&gt;3,BQ71&gt;12,BQ71&lt;120),"Dừng %",IF(AND(#REF!&gt;3,BQ71&lt;12),"PCTN","o-o-o")))</f>
        <v>#REF!</v>
      </c>
      <c r="BG71" s="1775"/>
      <c r="BH71" s="1773" t="e">
        <f>IF(#REF!&gt;3,#REF!+1,0)</f>
        <v>#REF!</v>
      </c>
      <c r="BI71" s="1773"/>
      <c r="BJ71" s="1776"/>
      <c r="BQ71" s="1771" t="e">
        <f>IF(#REF!&gt;3,(($BG$2-BL71)*12+($BG$4-BJ71)-BN71),"- - -")</f>
        <v>#REF!</v>
      </c>
      <c r="BR71" s="1777" t="e">
        <f>IF(AND(CP71="Hưu",#REF!&gt;3),12-(12*(CV71-BL71)+(CU71-BJ71))-BN71,"- - -")</f>
        <v>#REF!</v>
      </c>
      <c r="BS71" s="1773" t="str">
        <f>IF(BX71="công chức","CC",IF(BX71="viên chức","VC",IF(BX71="người lao động","NLĐ","- - -")))</f>
        <v>VC</v>
      </c>
      <c r="BV71" s="1773"/>
      <c r="BW71" s="1743"/>
      <c r="BX71" s="1742" t="s">
        <v>451</v>
      </c>
      <c r="BY71" s="1749" t="str">
        <f>IF(OR(S71="Ban Tổ chức - Cán bộ",S71="Văn phòng Học viện",S71="Phó Giám đốc Thường trực Học viện",S71="Phó Giám đốc Học viện"),"Chánh Văn phòng Học viện, Trưởng Ban Tổ chức - Cán bộ",IF(OR(S71="Trung tâm Ngoại ngữ",S71="Trung tâm Tin học hành chính và Công nghệ thông tin",S71="Trung tâm Tin học - Thư viện",S71="Phân viện khu vực Tây Nguyên"),"Chánh Văn phòng Học viện, Trưởng Ban Tổ chức - Cán bộ, "&amp;CONCATENATE("Giám đốc ",S71),IF(S71="Tạp chí Quản lý nhà nước","Chánh Văn phòng Học viện, Trưởng Ban Tổ chức - Cán bộ, "&amp;CONCATENATE("Tổng Biên tập ",S71),IF(S71="Văn phòng Đảng uỷ Học viện","Chánh Văn phòng Học viện, Trưởng Ban Tổ chức - Cán bộ, "&amp;CONCATENATE("Chánh",S71),IF(S71="Viện Nghiên cứu Khoa học hành chính","Chánh Văn phòng Học viện, Trưởng Ban Tổ chức - Cán bộ, "&amp;CONCATENATE("Viện Trưởng ",S71),IF(OR(S71="Cơ sở Học viện Hành chính Quốc gia khu vực miền Trung",S71="Cơ sở Học viện Hành chính Quốc gia tại Thành phố Hồ Chí Minh"),"Chánh Văn phòng Học viện, Trưởng Ban Tổ chức - Cán bộ, "&amp;CONCATENATE("Thủ trưởng ",S71),"Chánh Văn phòng Học viện, Trưởng Ban Tổ chức - Cán bộ, "&amp;CONCATENATE("Trưởng ",S71)))))))</f>
        <v>Chánh Văn phòng Học viện, Trưởng Ban Tổ chức - Cán bộ, Trưởng Khoa Đào tạo, Bồi dưỡng công chức và Tại chức</v>
      </c>
      <c r="BZ71" s="1778" t="str">
        <f>IF(S71="Cơ sở Học viện Hành chính khu vực miền Trung","B",IF(S71="Phân viện Khu vực Tây Nguyên","C",IF(S71="Cơ sở Học viện Hành chính tại thành phố Hồ Chí Minh","D","A")))</f>
        <v>A</v>
      </c>
      <c r="CA71" s="1742" t="e">
        <f>IF(AND(AF71&gt;0,AB71&lt;(AD71-1),#REF!&gt;0,#REF!&lt;13,OR(AND(CD71="Cùg Ng",($CA$2-#REF!)&gt;AY71),CD71="- - -")),"Sớm TT","=&gt; s")</f>
        <v>#REF!</v>
      </c>
      <c r="CB71" s="1779"/>
      <c r="CC71" s="1779"/>
      <c r="CD71" s="1780" t="e">
        <f>IF(X71=#REF!,"Cùg Ng","- - -")</f>
        <v>#REF!</v>
      </c>
      <c r="CE71" s="1781" t="str">
        <f>IF(CG71&gt;2000,"NN","- - -")</f>
        <v>- - -</v>
      </c>
      <c r="CF71" s="1742"/>
      <c r="CG71" s="1742"/>
      <c r="CJ71" s="1762" t="str">
        <f>IF(CL71&gt;2000,"CN","- - -")</f>
        <v>- - -</v>
      </c>
      <c r="CO71" s="1762" t="e">
        <f>IF(AND(CP71="Hưu",AB71&lt;(AD71-1),CW71&gt;0,CW71&lt;18,OR(#REF!&lt;4,AND(#REF!&gt;3,OR(BR71&lt;3,BR71&gt;5)))),"Lg Sớm",IF(AND(CP71="Hưu",AB71&gt;(AD71-2),OR(BD71=0.33,BD71=0.34),OR(#REF!&lt;4,AND(#REF!&gt;3,OR(BR71&lt;3,BR71&gt;5)))),"Nâng Ngạch",IF(AND(CP71="Hưu",AY71=1,CW71&gt;2,CW71&lt;6,OR(#REF!&lt;4,AND(#REF!&gt;3,OR(BR71&lt;3,BR71&gt;5)))),"Nâng PcVK cùng QĐ",IF(AND(CP71="Hưu",#REF!&gt;3,BR71&gt;2,BR71&lt;6,AB71&lt;(AD71-1),CW71&gt;17,OR(AY71&gt;1,AND(AY71=1,OR(CW71&lt;3,CW71&gt;5)))),"Nâng PcNG cùng QĐ",IF(AND(CP71="Hưu",AB71&lt;(AD71-1),CW71&gt;0,CW71&lt;18,#REF!&gt;3,BR71&gt;2,BR71&lt;6),"Nâng Lg Sớm +(PcNG cùng QĐ)",IF(AND(CP71="Hưu",AB71&gt;(AD71-2),OR(BD71=0.33,BD71=0.34),#REF!&gt;3,BR71&gt;2,BR71&lt;6),"Nâng Ngạch +(PcNG cùng QĐ)",IF(AND(CP71="Hưu",AY71=1,CW71&gt;2,CW71&lt;6,#REF!&gt;3,BR71&gt;2,BR71&lt;6),"Nâng (PcVK +PcNG) cùng QĐ",("---"))))))))</f>
        <v>#REF!</v>
      </c>
      <c r="CP71" s="1762" t="str">
        <f>IF(AND(DA71&gt;CZ71,DA71&lt;(CZ71+13)),"Hưu",IF(AND(DA71&gt;(CZ71+12),DA71&lt;1000),"Quá","/-/ /-/"))</f>
        <v>/-/ /-/</v>
      </c>
      <c r="CQ71" s="1762">
        <f>IF((I71+0)&lt;12,(I71+0)+1,IF((I71+0)=12,1,IF((I71+0)&gt;12,(I71+0)-12)))</f>
        <v>7</v>
      </c>
      <c r="CR71" s="1762">
        <f>IF(OR((I71+0)=12,(I71+0)&gt;12),K71+CZ71/12+1,IF(AND((I71+0)&gt;0,(I71+0)&lt;12),K71+CZ71/12,"---"))</f>
        <v>2020</v>
      </c>
      <c r="CS71" s="1762">
        <f>IF(AND(CQ71&gt;3,CQ71&lt;13),CQ71-3,IF(CQ71&lt;4,CQ71-3+12))</f>
        <v>4</v>
      </c>
      <c r="CT71" s="1762">
        <f>IF(CS71&lt;CQ71,CR71,IF(CS71&gt;CQ71,CR71-1))</f>
        <v>2020</v>
      </c>
      <c r="CU71" s="1762">
        <f>IF(CQ71&gt;6,CQ71-6,IF(CQ71=6,12,IF(CQ71&lt;6,CQ71+6)))</f>
        <v>1</v>
      </c>
      <c r="CV71" s="1762">
        <f>IF(CQ71&gt;6,CR71,IF(CQ71&lt;7,CR71-1))</f>
        <v>2020</v>
      </c>
      <c r="CW71" s="1762" t="str">
        <f>IF(AND(CP71="Hưu",AY71=3),36+BA71-(12*(CV71-AV71)+(CU71-AT71)),IF(AND(CP71="Hưu",AY71=2),24+BA71-(12*(CV71-AV71)+(CU71-AT71)),IF(AND(CP71="Hưu",AY71=1),12+BA71-(12*(CV71-AV71)+(CU71-AT71)),"- - -")))</f>
        <v>- - -</v>
      </c>
      <c r="CX71" s="1782" t="str">
        <f>IF(CY71&gt;0,"K.Dài",". .")</f>
        <v>. .</v>
      </c>
      <c r="CY71" s="1780"/>
      <c r="CZ71" s="1770">
        <f>IF(F71="Nam",(60+CY71)*12,IF(F71="Nữ",(55+CY71)*12,))</f>
        <v>660</v>
      </c>
      <c r="DA71" s="1783">
        <f>12*($CP$4-K71)+(12-I71)</f>
        <v>-23574</v>
      </c>
      <c r="DB71" s="1771">
        <f>$DF$4-K71</f>
        <v>-1965</v>
      </c>
      <c r="DC71" s="1772" t="str">
        <f>IF(AND(DB71&lt;35,F71="Nam"),"Nam dưới 35",IF(AND(DB71&lt;30,F71="Nữ"),"Nữ dưới 30",IF(AND(DB71&gt;34,DB71&lt;46,F71="Nam"),"Nam từ 35 - 45",IF(AND(DB71&gt;29,DB71&lt;41,F71="Nữ"),"Nữ từ 30 - 40",IF(AND(DB71&gt;45,DB71&lt;56,F71="Nam"),"Nam trên 45 - 55",IF(AND(DB71&gt;40,DB71&lt;51,F71="Nữ"),"Nữ trên 40 - 50",IF(AND(DB71&gt;55,F71="Nam"),"Nam trên 55","Nữ trên 50")))))))</f>
        <v>Nữ dưới 30</v>
      </c>
      <c r="DD71" s="1773"/>
      <c r="DE71" s="1771"/>
      <c r="DF71" s="1774" t="str">
        <f>IF(DB71&lt;31,"Đến 30",IF(AND(DB71&gt;30,DB71&lt;46),"31 - 45",IF(AND(DB71&gt;45,DB71&lt;70),"Trên 45")))</f>
        <v>Đến 30</v>
      </c>
      <c r="DG71" s="1752" t="str">
        <f>IF(DH71&gt;0,"TD","--")</f>
        <v>--</v>
      </c>
      <c r="DH71" s="1752"/>
      <c r="DI71" s="1773"/>
      <c r="DJ71" s="1784"/>
      <c r="DK71" s="1776"/>
      <c r="DQ71" s="1762" t="s">
        <v>366</v>
      </c>
      <c r="DR71" s="1762" t="s">
        <v>341</v>
      </c>
      <c r="DS71" s="1762" t="s">
        <v>359</v>
      </c>
      <c r="DT71" s="1762">
        <v>11</v>
      </c>
      <c r="DU71" s="1762" t="s">
        <v>359</v>
      </c>
      <c r="DV71" s="1762">
        <v>2013</v>
      </c>
      <c r="DW71" s="1762">
        <f>(DR71+0)-(DY71+0)</f>
        <v>0</v>
      </c>
      <c r="DX71" s="1762" t="str">
        <f>IF(DW71&gt;0,"Sửa","- - -")</f>
        <v>- - -</v>
      </c>
      <c r="DY71" s="1762" t="s">
        <v>341</v>
      </c>
      <c r="DZ71" s="1762" t="s">
        <v>359</v>
      </c>
      <c r="EA71" s="1762">
        <v>11</v>
      </c>
      <c r="EB71" s="1762" t="s">
        <v>359</v>
      </c>
      <c r="EC71" s="1762">
        <v>2013</v>
      </c>
      <c r="EE71" s="1762" t="str">
        <f>IF(AND(BD71&gt;0.34,AF71=1,OR(BC71=6.2,BC71=5.75)),((BC71-ED71)-2*0.34),IF(AND(BD71&gt;0.33,AF71=1,OR(BC71=4.4,BC71=4)),((BC71-ED71)-2*0.33),"- - -"))</f>
        <v>- - -</v>
      </c>
      <c r="EF71" s="1762" t="str">
        <f>IF(CP71="Hưu",12*(CV71-AV71)+(CU71-AT71),"---")</f>
        <v>---</v>
      </c>
    </row>
    <row r="72" spans="1:143" s="598" customFormat="1" x14ac:dyDescent="0.2">
      <c r="A72" s="745"/>
      <c r="B72" s="728"/>
      <c r="C72" s="745"/>
      <c r="D72" s="1694"/>
      <c r="E72" s="1695"/>
      <c r="F72" s="1696"/>
      <c r="J72" s="717"/>
      <c r="K72" s="717"/>
      <c r="L72" s="717"/>
      <c r="M72" s="717"/>
      <c r="N72" s="717"/>
      <c r="O72" s="717"/>
      <c r="P72" s="717"/>
      <c r="Q72" s="1694"/>
      <c r="R72" s="1694"/>
      <c r="S72" s="1697"/>
      <c r="T72" s="1697"/>
      <c r="U72" s="705"/>
      <c r="V72" s="1698"/>
      <c r="W72" s="704"/>
      <c r="X72" s="717"/>
      <c r="Y72" s="723"/>
      <c r="Z72" s="723"/>
      <c r="AA72" s="1699"/>
      <c r="AB72" s="1699"/>
      <c r="AC72" s="1703"/>
      <c r="AD72" s="1704"/>
      <c r="AE72" s="1705"/>
      <c r="AF72" s="1705"/>
      <c r="AG72" s="1705"/>
      <c r="AH72" s="1704"/>
      <c r="AI72" s="722"/>
      <c r="AJ72" s="1701"/>
      <c r="AK72" s="1703"/>
      <c r="AL72" s="1706"/>
      <c r="AM72" s="1706"/>
      <c r="AN72" s="1706"/>
      <c r="AO72" s="1707"/>
      <c r="AP72" s="1703"/>
      <c r="AQ72" s="1708"/>
      <c r="AR72" s="1709"/>
      <c r="AS72" s="1709"/>
      <c r="AT72" s="1704"/>
      <c r="AU72" s="722"/>
      <c r="AV72" s="1701"/>
      <c r="AW72" s="1703"/>
      <c r="AX72" s="1706"/>
      <c r="AY72" s="693"/>
      <c r="AZ72" s="1701"/>
      <c r="BB72" s="1699"/>
      <c r="BC72" s="746"/>
      <c r="BD72" s="1704"/>
      <c r="BE72" s="1710"/>
      <c r="BF72" s="1707"/>
      <c r="BG72" s="1704"/>
      <c r="BH72" s="1707"/>
      <c r="BI72" s="1710"/>
      <c r="BJ72" s="1704"/>
      <c r="BK72" s="1711"/>
      <c r="BL72" s="705"/>
      <c r="BM72" s="1697"/>
      <c r="BR72" s="1712"/>
      <c r="BS72" s="1713"/>
      <c r="BT72" s="1710"/>
      <c r="BU72" s="705"/>
      <c r="BV72" s="1694"/>
      <c r="BW72" s="1694"/>
      <c r="BX72" s="708"/>
      <c r="BY72" s="708"/>
      <c r="BZ72" s="745"/>
      <c r="CA72" s="1700"/>
      <c r="CB72" s="708"/>
      <c r="CD72" s="1701"/>
      <c r="CE72" s="1702"/>
      <c r="CF72" s="745"/>
    </row>
    <row r="73" spans="1:143" s="598" customFormat="1" x14ac:dyDescent="0.2">
      <c r="A73" s="745"/>
      <c r="B73" s="728"/>
      <c r="C73" s="745"/>
      <c r="D73" s="1694"/>
      <c r="E73" s="1695"/>
      <c r="F73" s="1696"/>
      <c r="J73" s="717"/>
      <c r="K73" s="717"/>
      <c r="L73" s="717"/>
      <c r="M73" s="717"/>
      <c r="N73" s="717"/>
      <c r="O73" s="717"/>
      <c r="P73" s="717"/>
      <c r="Q73" s="1694"/>
      <c r="R73" s="1694"/>
      <c r="S73" s="1697"/>
      <c r="T73" s="1697"/>
      <c r="U73" s="705"/>
      <c r="V73" s="1698"/>
      <c r="W73" s="704"/>
      <c r="X73" s="717"/>
      <c r="Y73" s="723"/>
      <c r="Z73" s="723"/>
      <c r="AA73" s="1699"/>
      <c r="AB73" s="1699"/>
      <c r="AC73" s="1703"/>
      <c r="AD73" s="1704"/>
      <c r="AE73" s="1705"/>
      <c r="AF73" s="1705"/>
      <c r="AG73" s="1705"/>
      <c r="AH73" s="1704"/>
      <c r="AI73" s="722"/>
      <c r="AJ73" s="1701"/>
      <c r="AK73" s="1703"/>
      <c r="AL73" s="1706"/>
      <c r="AM73" s="1706"/>
      <c r="AN73" s="1706"/>
      <c r="AO73" s="1707"/>
      <c r="AP73" s="1703"/>
      <c r="AQ73" s="1708"/>
      <c r="AR73" s="1709"/>
      <c r="AS73" s="1709"/>
      <c r="AT73" s="1704"/>
      <c r="AU73" s="722"/>
      <c r="AV73" s="1701"/>
      <c r="AW73" s="1703"/>
      <c r="AX73" s="1706"/>
      <c r="AY73" s="693"/>
      <c r="AZ73" s="1701"/>
      <c r="BB73" s="1699"/>
      <c r="BC73" s="746"/>
      <c r="BD73" s="1704"/>
      <c r="BE73" s="1710"/>
      <c r="BF73" s="1707"/>
      <c r="BG73" s="1704"/>
      <c r="BH73" s="1707"/>
      <c r="BI73" s="1710"/>
      <c r="BJ73" s="1704"/>
      <c r="BK73" s="1711"/>
      <c r="BL73" s="705"/>
      <c r="BM73" s="1697"/>
      <c r="BR73" s="1712"/>
      <c r="BS73" s="1713"/>
      <c r="BT73" s="1710"/>
      <c r="BU73" s="705"/>
      <c r="BV73" s="1694"/>
      <c r="BW73" s="1694"/>
      <c r="BX73" s="708"/>
      <c r="BY73" s="708"/>
      <c r="BZ73" s="745"/>
      <c r="CA73" s="1700"/>
      <c r="CB73" s="708"/>
      <c r="CD73" s="1701"/>
      <c r="CE73" s="1702"/>
      <c r="CF73" s="745"/>
    </row>
    <row r="74" spans="1:143" s="598" customFormat="1" x14ac:dyDescent="0.2">
      <c r="A74" s="745"/>
      <c r="B74" s="728"/>
      <c r="C74" s="745"/>
      <c r="D74" s="1694"/>
      <c r="E74" s="1695"/>
      <c r="F74" s="1696"/>
      <c r="J74" s="717"/>
      <c r="K74" s="717"/>
      <c r="L74" s="717"/>
      <c r="M74" s="717"/>
      <c r="N74" s="717"/>
      <c r="O74" s="717"/>
      <c r="P74" s="717"/>
      <c r="Q74" s="1694"/>
      <c r="R74" s="1694"/>
      <c r="S74" s="1697"/>
      <c r="T74" s="1697"/>
      <c r="U74" s="705"/>
      <c r="V74" s="1698"/>
      <c r="W74" s="704"/>
      <c r="X74" s="717"/>
      <c r="Y74" s="723"/>
      <c r="Z74" s="723"/>
      <c r="AA74" s="1699"/>
      <c r="AB74" s="1699"/>
      <c r="AC74" s="1703"/>
      <c r="AD74" s="1704"/>
      <c r="AE74" s="1705"/>
      <c r="AF74" s="1705"/>
      <c r="AG74" s="1705"/>
      <c r="AH74" s="1704"/>
      <c r="AI74" s="722"/>
      <c r="AJ74" s="1701"/>
      <c r="AK74" s="1703"/>
      <c r="AL74" s="1706"/>
      <c r="AM74" s="1706"/>
      <c r="AN74" s="1706"/>
      <c r="AO74" s="1707"/>
      <c r="AP74" s="1703"/>
      <c r="AQ74" s="1708"/>
      <c r="AR74" s="1709"/>
      <c r="AS74" s="1709"/>
      <c r="AT74" s="1704"/>
      <c r="AU74" s="722"/>
      <c r="AV74" s="1701"/>
      <c r="AW74" s="1703"/>
      <c r="AX74" s="1706"/>
      <c r="AY74" s="693"/>
      <c r="AZ74" s="1701"/>
      <c r="BB74" s="1699"/>
      <c r="BC74" s="746"/>
      <c r="BD74" s="1704"/>
      <c r="BE74" s="1710"/>
      <c r="BF74" s="1707"/>
      <c r="BG74" s="1704"/>
      <c r="BH74" s="1707"/>
      <c r="BI74" s="1710"/>
      <c r="BJ74" s="1704"/>
      <c r="BK74" s="1711"/>
      <c r="BL74" s="705"/>
      <c r="BM74" s="1697"/>
      <c r="BR74" s="1712"/>
      <c r="BS74" s="1713"/>
      <c r="BT74" s="1710"/>
      <c r="BU74" s="705"/>
      <c r="BV74" s="1694"/>
      <c r="BW74" s="1694"/>
      <c r="BX74" s="708"/>
      <c r="BY74" s="708"/>
      <c r="BZ74" s="745"/>
      <c r="CA74" s="1700"/>
      <c r="CB74" s="708"/>
      <c r="CD74" s="1701"/>
      <c r="CE74" s="1702"/>
      <c r="CF74" s="745"/>
    </row>
    <row r="75" spans="1:143" s="598" customFormat="1" x14ac:dyDescent="0.2">
      <c r="A75" s="745"/>
      <c r="B75" s="728"/>
      <c r="C75" s="745"/>
      <c r="D75" s="1694"/>
      <c r="E75" s="1695"/>
      <c r="F75" s="1696"/>
      <c r="J75" s="717"/>
      <c r="K75" s="717"/>
      <c r="L75" s="717"/>
      <c r="M75" s="717"/>
      <c r="N75" s="717"/>
      <c r="O75" s="717"/>
      <c r="P75" s="717"/>
      <c r="Q75" s="1694"/>
      <c r="R75" s="1694"/>
      <c r="S75" s="1697"/>
      <c r="T75" s="1697"/>
      <c r="U75" s="705"/>
      <c r="V75" s="1698"/>
      <c r="W75" s="704"/>
      <c r="X75" s="717"/>
      <c r="Y75" s="723"/>
      <c r="Z75" s="723"/>
      <c r="AA75" s="1699"/>
      <c r="AB75" s="1699"/>
      <c r="AC75" s="1703"/>
      <c r="AD75" s="1704"/>
      <c r="AE75" s="1705"/>
      <c r="AF75" s="1705"/>
      <c r="AG75" s="1705"/>
      <c r="AH75" s="1704"/>
      <c r="AI75" s="722"/>
      <c r="AJ75" s="1701"/>
      <c r="AK75" s="1703"/>
      <c r="AL75" s="1706"/>
      <c r="AM75" s="1706"/>
      <c r="AN75" s="1706"/>
      <c r="AO75" s="1707"/>
      <c r="AP75" s="1703"/>
      <c r="AQ75" s="1708"/>
      <c r="AR75" s="1709"/>
      <c r="AS75" s="1709"/>
      <c r="AT75" s="1704"/>
      <c r="AU75" s="722"/>
      <c r="AV75" s="1701"/>
      <c r="AW75" s="1703"/>
      <c r="AX75" s="1706"/>
      <c r="AY75" s="693"/>
      <c r="AZ75" s="1701"/>
      <c r="BB75" s="1699"/>
      <c r="BC75" s="746"/>
      <c r="BD75" s="1704"/>
      <c r="BE75" s="1710"/>
      <c r="BF75" s="1707"/>
      <c r="BG75" s="1704"/>
      <c r="BH75" s="1707"/>
      <c r="BI75" s="1710"/>
      <c r="BJ75" s="1704"/>
      <c r="BK75" s="1711"/>
      <c r="BL75" s="705"/>
      <c r="BM75" s="1697"/>
      <c r="BR75" s="1712"/>
      <c r="BS75" s="1713"/>
      <c r="BT75" s="1710"/>
      <c r="BU75" s="705"/>
      <c r="BV75" s="1694"/>
      <c r="BW75" s="1694"/>
      <c r="BX75" s="708"/>
      <c r="BY75" s="708"/>
      <c r="BZ75" s="745"/>
      <c r="CA75" s="1700"/>
      <c r="CB75" s="708"/>
      <c r="CD75" s="1701"/>
      <c r="CE75" s="1702"/>
      <c r="CF75" s="745"/>
    </row>
    <row r="76" spans="1:143" s="598" customFormat="1" x14ac:dyDescent="0.2">
      <c r="A76" s="745"/>
      <c r="B76" s="728"/>
      <c r="C76" s="745"/>
      <c r="D76" s="1694"/>
      <c r="E76" s="1695"/>
      <c r="F76" s="1696"/>
      <c r="J76" s="717"/>
      <c r="K76" s="717"/>
      <c r="L76" s="717"/>
      <c r="M76" s="717"/>
      <c r="N76" s="717"/>
      <c r="O76" s="717"/>
      <c r="P76" s="717"/>
      <c r="Q76" s="1694"/>
      <c r="R76" s="1694"/>
      <c r="S76" s="1697"/>
      <c r="T76" s="1697"/>
      <c r="U76" s="705"/>
      <c r="V76" s="1698"/>
      <c r="W76" s="704"/>
      <c r="X76" s="717"/>
      <c r="Y76" s="723"/>
      <c r="Z76" s="723"/>
      <c r="AA76" s="1699"/>
      <c r="AB76" s="1699"/>
      <c r="AC76" s="1703"/>
      <c r="AD76" s="1704"/>
      <c r="AE76" s="1705"/>
      <c r="AF76" s="1705"/>
      <c r="AG76" s="1705"/>
      <c r="AH76" s="1704"/>
      <c r="AI76" s="722"/>
      <c r="AJ76" s="1701"/>
      <c r="AK76" s="1703"/>
      <c r="AL76" s="1706"/>
      <c r="AM76" s="1706"/>
      <c r="AN76" s="1706"/>
      <c r="AO76" s="1707"/>
      <c r="AP76" s="1703"/>
      <c r="AQ76" s="1708"/>
      <c r="AR76" s="1709"/>
      <c r="AS76" s="1709"/>
      <c r="AT76" s="1704"/>
      <c r="AU76" s="722"/>
      <c r="AV76" s="1701"/>
      <c r="AW76" s="1703"/>
      <c r="AX76" s="1706"/>
      <c r="AY76" s="693"/>
      <c r="AZ76" s="1701"/>
      <c r="BB76" s="1699"/>
      <c r="BC76" s="746"/>
      <c r="BD76" s="1704"/>
      <c r="BE76" s="1710"/>
      <c r="BF76" s="1707"/>
      <c r="BG76" s="1704"/>
      <c r="BH76" s="1707"/>
      <c r="BI76" s="1710"/>
      <c r="BJ76" s="1704"/>
      <c r="BK76" s="1711"/>
      <c r="BL76" s="705"/>
      <c r="BM76" s="1697"/>
      <c r="BR76" s="1712"/>
      <c r="BS76" s="1713"/>
      <c r="BT76" s="1710"/>
      <c r="BU76" s="705"/>
      <c r="BV76" s="1694"/>
      <c r="BW76" s="1694"/>
      <c r="BX76" s="708"/>
      <c r="BY76" s="708"/>
      <c r="BZ76" s="745"/>
      <c r="CA76" s="1700"/>
      <c r="CB76" s="708"/>
      <c r="CD76" s="1701"/>
      <c r="CE76" s="1702"/>
      <c r="CF76" s="745"/>
    </row>
    <row r="77" spans="1:143" s="598" customFormat="1" x14ac:dyDescent="0.2">
      <c r="A77" s="745"/>
      <c r="B77" s="728"/>
      <c r="C77" s="745"/>
      <c r="D77" s="1694"/>
      <c r="E77" s="1695"/>
      <c r="F77" s="1696"/>
      <c r="J77" s="717"/>
      <c r="K77" s="717"/>
      <c r="L77" s="717"/>
      <c r="M77" s="717"/>
      <c r="N77" s="717"/>
      <c r="O77" s="717"/>
      <c r="P77" s="717"/>
      <c r="Q77" s="1694"/>
      <c r="R77" s="1694"/>
      <c r="S77" s="1697"/>
      <c r="T77" s="1697"/>
      <c r="U77" s="705"/>
      <c r="V77" s="1698"/>
      <c r="W77" s="704"/>
      <c r="X77" s="717"/>
      <c r="Y77" s="723"/>
      <c r="Z77" s="723"/>
      <c r="AA77" s="1699"/>
      <c r="AB77" s="1699"/>
      <c r="AC77" s="1703"/>
      <c r="AD77" s="1704"/>
      <c r="AE77" s="1705"/>
      <c r="AF77" s="1705"/>
      <c r="AG77" s="1705"/>
      <c r="AH77" s="1704"/>
      <c r="AI77" s="722"/>
      <c r="AJ77" s="1701"/>
      <c r="AK77" s="1703"/>
      <c r="AL77" s="1706"/>
      <c r="AM77" s="1706"/>
      <c r="AN77" s="1706"/>
      <c r="AO77" s="1707"/>
      <c r="AP77" s="1703"/>
      <c r="AQ77" s="1708"/>
      <c r="AR77" s="1709"/>
      <c r="AS77" s="1709"/>
      <c r="AT77" s="1704"/>
      <c r="AU77" s="722"/>
      <c r="AV77" s="1701"/>
      <c r="AW77" s="1703"/>
      <c r="AX77" s="1706"/>
      <c r="AY77" s="693"/>
      <c r="AZ77" s="1701"/>
      <c r="BB77" s="1699"/>
      <c r="BC77" s="746"/>
      <c r="BD77" s="1704"/>
      <c r="BE77" s="1710"/>
      <c r="BF77" s="1707"/>
      <c r="BG77" s="1704"/>
      <c r="BH77" s="1707"/>
      <c r="BI77" s="1710"/>
      <c r="BJ77" s="1704"/>
      <c r="BK77" s="1711"/>
      <c r="BL77" s="705"/>
      <c r="BM77" s="1697"/>
      <c r="BR77" s="1712"/>
      <c r="BS77" s="1713"/>
      <c r="BT77" s="1710"/>
      <c r="BU77" s="705"/>
      <c r="BV77" s="1694"/>
      <c r="BW77" s="1694"/>
      <c r="BX77" s="708"/>
      <c r="BY77" s="708"/>
      <c r="BZ77" s="745"/>
      <c r="CA77" s="1700"/>
      <c r="CB77" s="708"/>
      <c r="CD77" s="1701"/>
      <c r="CE77" s="1702"/>
      <c r="CF77" s="745"/>
    </row>
    <row r="78" spans="1:143" s="598" customFormat="1" x14ac:dyDescent="0.2">
      <c r="A78" s="745"/>
      <c r="B78" s="728"/>
      <c r="C78" s="745"/>
      <c r="D78" s="1694"/>
      <c r="E78" s="1695"/>
      <c r="F78" s="1696"/>
      <c r="J78" s="717"/>
      <c r="K78" s="717"/>
      <c r="L78" s="717"/>
      <c r="M78" s="717"/>
      <c r="N78" s="717"/>
      <c r="O78" s="717"/>
      <c r="P78" s="717"/>
      <c r="Q78" s="1694"/>
      <c r="R78" s="1694"/>
      <c r="S78" s="1697"/>
      <c r="T78" s="1697"/>
      <c r="U78" s="705"/>
      <c r="V78" s="1698"/>
      <c r="W78" s="704"/>
      <c r="X78" s="717"/>
      <c r="Y78" s="723"/>
      <c r="Z78" s="723"/>
      <c r="AA78" s="1699"/>
      <c r="AB78" s="1699"/>
      <c r="AC78" s="1703"/>
      <c r="AD78" s="1704"/>
      <c r="AE78" s="1705"/>
      <c r="AF78" s="1705"/>
      <c r="AG78" s="1705"/>
      <c r="AH78" s="1704"/>
      <c r="AI78" s="722"/>
      <c r="AJ78" s="1701"/>
      <c r="AK78" s="1703"/>
      <c r="AL78" s="1706"/>
      <c r="AM78" s="1706"/>
      <c r="AN78" s="1706"/>
      <c r="AO78" s="1707"/>
      <c r="AP78" s="1703"/>
      <c r="AQ78" s="1708"/>
      <c r="AR78" s="1709"/>
      <c r="AS78" s="1709"/>
      <c r="AT78" s="1704"/>
      <c r="AU78" s="722"/>
      <c r="AV78" s="1701"/>
      <c r="AW78" s="1703"/>
      <c r="AX78" s="1706"/>
      <c r="AY78" s="693"/>
      <c r="AZ78" s="1701"/>
      <c r="BB78" s="1699"/>
      <c r="BC78" s="746"/>
      <c r="BD78" s="1704"/>
      <c r="BE78" s="1710"/>
      <c r="BF78" s="1707"/>
      <c r="BG78" s="1704"/>
      <c r="BH78" s="1707"/>
      <c r="BI78" s="1710"/>
      <c r="BJ78" s="1704"/>
      <c r="BK78" s="1711"/>
      <c r="BL78" s="705"/>
      <c r="BM78" s="1697"/>
      <c r="BR78" s="1712"/>
      <c r="BS78" s="1713"/>
      <c r="BT78" s="1710"/>
      <c r="BU78" s="705"/>
      <c r="BV78" s="1694"/>
      <c r="BW78" s="1694"/>
      <c r="BX78" s="708"/>
      <c r="BY78" s="708"/>
      <c r="BZ78" s="745"/>
      <c r="CA78" s="1700"/>
      <c r="CB78" s="708"/>
      <c r="CD78" s="1701"/>
      <c r="CE78" s="1702"/>
      <c r="CF78" s="745"/>
    </row>
    <row r="79" spans="1:143" s="598" customFormat="1" x14ac:dyDescent="0.2">
      <c r="A79" s="745"/>
      <c r="B79" s="728"/>
      <c r="C79" s="745"/>
      <c r="D79" s="1694"/>
      <c r="E79" s="1695"/>
      <c r="F79" s="1696"/>
      <c r="J79" s="717"/>
      <c r="K79" s="717"/>
      <c r="L79" s="717"/>
      <c r="M79" s="717"/>
      <c r="N79" s="717"/>
      <c r="O79" s="717"/>
      <c r="P79" s="717"/>
      <c r="Q79" s="1694"/>
      <c r="R79" s="1694"/>
      <c r="S79" s="1697"/>
      <c r="T79" s="1697"/>
      <c r="U79" s="705"/>
      <c r="V79" s="1698"/>
      <c r="W79" s="704"/>
      <c r="X79" s="717"/>
      <c r="Y79" s="723"/>
      <c r="Z79" s="723"/>
      <c r="AA79" s="1699"/>
      <c r="AB79" s="1699"/>
      <c r="AC79" s="1703"/>
      <c r="AD79" s="1704"/>
      <c r="AE79" s="1705"/>
      <c r="AF79" s="1705"/>
      <c r="AG79" s="1705"/>
      <c r="AH79" s="1704"/>
      <c r="AI79" s="722"/>
      <c r="AJ79" s="1701"/>
      <c r="AK79" s="1703"/>
      <c r="AL79" s="1706"/>
      <c r="AM79" s="1706"/>
      <c r="AN79" s="1706"/>
      <c r="AO79" s="1707"/>
      <c r="AP79" s="1703"/>
      <c r="AQ79" s="1708"/>
      <c r="AR79" s="1709"/>
      <c r="AS79" s="1709"/>
      <c r="AT79" s="1704"/>
      <c r="AU79" s="722"/>
      <c r="AV79" s="1701"/>
      <c r="AW79" s="1703"/>
      <c r="AX79" s="1706"/>
      <c r="AY79" s="693"/>
      <c r="AZ79" s="1701"/>
      <c r="BB79" s="1699"/>
      <c r="BC79" s="746"/>
      <c r="BD79" s="1704"/>
      <c r="BE79" s="1710"/>
      <c r="BF79" s="1707"/>
      <c r="BG79" s="1704"/>
      <c r="BH79" s="1707"/>
      <c r="BI79" s="1710"/>
      <c r="BJ79" s="1704"/>
      <c r="BK79" s="1711"/>
      <c r="BL79" s="705"/>
      <c r="BM79" s="1697"/>
      <c r="BR79" s="1712"/>
      <c r="BS79" s="1713"/>
      <c r="BT79" s="1710"/>
      <c r="BU79" s="705"/>
      <c r="BV79" s="1694"/>
      <c r="BW79" s="1694"/>
      <c r="BX79" s="708"/>
      <c r="BY79" s="708"/>
      <c r="BZ79" s="745"/>
      <c r="CA79" s="1700"/>
      <c r="CB79" s="708"/>
      <c r="CD79" s="1701"/>
      <c r="CE79" s="1702"/>
      <c r="CF79" s="745"/>
    </row>
    <row r="80" spans="1:143" s="598" customFormat="1" x14ac:dyDescent="0.2">
      <c r="A80" s="745"/>
      <c r="B80" s="728"/>
      <c r="C80" s="745"/>
      <c r="D80" s="1694"/>
      <c r="E80" s="1695"/>
      <c r="F80" s="1696"/>
      <c r="J80" s="717"/>
      <c r="K80" s="717"/>
      <c r="L80" s="717"/>
      <c r="M80" s="717"/>
      <c r="N80" s="717"/>
      <c r="O80" s="717"/>
      <c r="P80" s="717"/>
      <c r="Q80" s="1694"/>
      <c r="R80" s="1694"/>
      <c r="S80" s="1697"/>
      <c r="T80" s="1697"/>
      <c r="U80" s="705"/>
      <c r="V80" s="1698"/>
      <c r="W80" s="704"/>
      <c r="X80" s="717"/>
      <c r="Y80" s="723"/>
      <c r="Z80" s="723"/>
      <c r="AA80" s="1699"/>
      <c r="AB80" s="1699"/>
      <c r="AC80" s="1703"/>
      <c r="AD80" s="1704"/>
      <c r="AE80" s="1705"/>
      <c r="AF80" s="1705"/>
      <c r="AG80" s="1705"/>
      <c r="AH80" s="1704"/>
      <c r="AI80" s="722"/>
      <c r="AJ80" s="1701"/>
      <c r="AK80" s="1703"/>
      <c r="AL80" s="1706"/>
      <c r="AM80" s="1706"/>
      <c r="AN80" s="1706"/>
      <c r="AO80" s="1707"/>
      <c r="AP80" s="1703"/>
      <c r="AQ80" s="1708"/>
      <c r="AR80" s="1709"/>
      <c r="AS80" s="1709"/>
      <c r="AT80" s="1704"/>
      <c r="AU80" s="722"/>
      <c r="AV80" s="1701"/>
      <c r="AW80" s="1703"/>
      <c r="AX80" s="1706"/>
      <c r="AY80" s="693"/>
      <c r="AZ80" s="1701"/>
      <c r="BB80" s="1699"/>
      <c r="BC80" s="746"/>
      <c r="BD80" s="1704"/>
      <c r="BE80" s="1710"/>
      <c r="BF80" s="1707"/>
      <c r="BG80" s="1704"/>
      <c r="BH80" s="1707"/>
      <c r="BI80" s="1710"/>
      <c r="BJ80" s="1704"/>
      <c r="BK80" s="1711"/>
      <c r="BL80" s="705"/>
      <c r="BM80" s="1697"/>
      <c r="BR80" s="1712"/>
      <c r="BS80" s="1713"/>
      <c r="BT80" s="1710"/>
      <c r="BU80" s="705"/>
      <c r="BV80" s="1694"/>
      <c r="BW80" s="1694"/>
      <c r="BX80" s="708"/>
      <c r="BY80" s="708"/>
      <c r="BZ80" s="745"/>
      <c r="CA80" s="1700"/>
      <c r="CB80" s="708"/>
      <c r="CD80" s="1701"/>
      <c r="CE80" s="1702"/>
      <c r="CF80" s="745"/>
    </row>
    <row r="81" spans="1:174" s="598" customFormat="1" x14ac:dyDescent="0.2">
      <c r="A81" s="745"/>
      <c r="B81" s="728"/>
      <c r="C81" s="745"/>
      <c r="D81" s="1694"/>
      <c r="E81" s="1695"/>
      <c r="F81" s="1696"/>
      <c r="J81" s="717"/>
      <c r="K81" s="717"/>
      <c r="L81" s="717"/>
      <c r="M81" s="717"/>
      <c r="N81" s="717"/>
      <c r="O81" s="717"/>
      <c r="P81" s="717"/>
      <c r="Q81" s="1694"/>
      <c r="R81" s="1694"/>
      <c r="S81" s="1697"/>
      <c r="T81" s="1697"/>
      <c r="U81" s="705"/>
      <c r="V81" s="1698"/>
      <c r="W81" s="704"/>
      <c r="X81" s="717"/>
      <c r="Y81" s="723"/>
      <c r="Z81" s="723"/>
      <c r="AA81" s="1699"/>
      <c r="AB81" s="1699"/>
      <c r="AC81" s="1703"/>
      <c r="AD81" s="1704"/>
      <c r="AE81" s="1705"/>
      <c r="AF81" s="1705"/>
      <c r="AG81" s="1705"/>
      <c r="AH81" s="1704"/>
      <c r="AI81" s="722"/>
      <c r="AJ81" s="1701"/>
      <c r="AK81" s="1703"/>
      <c r="AL81" s="1706"/>
      <c r="AM81" s="1706"/>
      <c r="AN81" s="1706"/>
      <c r="AO81" s="1707"/>
      <c r="AP81" s="1703"/>
      <c r="AQ81" s="1708"/>
      <c r="AR81" s="1709"/>
      <c r="AS81" s="1709"/>
      <c r="AT81" s="1704"/>
      <c r="AU81" s="722"/>
      <c r="AV81" s="1701"/>
      <c r="AW81" s="1703"/>
      <c r="AX81" s="1706"/>
      <c r="AY81" s="693"/>
      <c r="AZ81" s="1701"/>
      <c r="BB81" s="1699"/>
      <c r="BC81" s="746"/>
      <c r="BD81" s="1704"/>
      <c r="BE81" s="1710"/>
      <c r="BF81" s="1707"/>
      <c r="BG81" s="1704"/>
      <c r="BH81" s="1707"/>
      <c r="BI81" s="1710"/>
      <c r="BJ81" s="1704"/>
      <c r="BK81" s="1711"/>
      <c r="BL81" s="705"/>
      <c r="BM81" s="1697"/>
      <c r="BR81" s="1712"/>
      <c r="BS81" s="1713"/>
      <c r="BT81" s="1710"/>
      <c r="BU81" s="705"/>
      <c r="BV81" s="1694"/>
      <c r="BW81" s="1694"/>
      <c r="BX81" s="708"/>
      <c r="BY81" s="708"/>
      <c r="BZ81" s="745"/>
      <c r="CA81" s="1700"/>
      <c r="CB81" s="708"/>
      <c r="CD81" s="1701"/>
      <c r="CE81" s="1702"/>
      <c r="CF81" s="745"/>
    </row>
    <row r="82" spans="1:174" s="598" customFormat="1" ht="29.25" customHeight="1" x14ac:dyDescent="0.2">
      <c r="A82" s="745"/>
      <c r="B82" s="728"/>
      <c r="C82" s="745"/>
      <c r="D82" s="1694"/>
      <c r="E82" s="1695"/>
      <c r="F82" s="1696"/>
      <c r="J82" s="717"/>
      <c r="K82" s="717"/>
      <c r="L82" s="717"/>
      <c r="M82" s="717"/>
      <c r="N82" s="717"/>
      <c r="O82" s="717"/>
      <c r="P82" s="717"/>
      <c r="Q82" s="1694"/>
      <c r="R82" s="1694"/>
      <c r="S82" s="1697"/>
      <c r="T82" s="1697"/>
      <c r="U82" s="705"/>
      <c r="V82" s="1698"/>
      <c r="W82" s="704"/>
      <c r="X82" s="717"/>
      <c r="Y82" s="723"/>
      <c r="Z82" s="723"/>
      <c r="AA82" s="1699"/>
      <c r="AB82" s="1699"/>
      <c r="AC82" s="1703"/>
      <c r="AD82" s="1704"/>
      <c r="AE82" s="1705"/>
      <c r="AF82" s="1705"/>
      <c r="AG82" s="1705"/>
      <c r="AH82" s="1704"/>
      <c r="AI82" s="722"/>
      <c r="AJ82" s="1701"/>
      <c r="AK82" s="1703"/>
      <c r="AL82" s="1706"/>
      <c r="AM82" s="1706"/>
      <c r="AN82" s="1706"/>
      <c r="AO82" s="1707"/>
      <c r="AP82" s="1703"/>
      <c r="AQ82" s="1708"/>
      <c r="AR82" s="1709"/>
      <c r="AS82" s="1709"/>
      <c r="AT82" s="1704"/>
      <c r="AU82" s="722"/>
      <c r="AV82" s="1701"/>
      <c r="AW82" s="1703"/>
      <c r="AX82" s="1706"/>
      <c r="AY82" s="693"/>
      <c r="AZ82" s="1701"/>
      <c r="BB82" s="1699"/>
      <c r="BC82" s="746"/>
      <c r="BD82" s="1704"/>
      <c r="BE82" s="1710"/>
      <c r="BF82" s="1707"/>
      <c r="BG82" s="1704"/>
      <c r="BH82" s="1707"/>
      <c r="BI82" s="1710"/>
      <c r="BJ82" s="1704"/>
      <c r="BK82" s="1711"/>
      <c r="BL82" s="705"/>
      <c r="BM82" s="1697"/>
      <c r="BR82" s="1712"/>
      <c r="BS82" s="1713"/>
      <c r="BT82" s="1710"/>
      <c r="BU82" s="705"/>
      <c r="BV82" s="1694"/>
      <c r="BW82" s="1694"/>
      <c r="BX82" s="708"/>
      <c r="BY82" s="708"/>
      <c r="BZ82" s="745"/>
      <c r="CA82" s="1700"/>
      <c r="CB82" s="708"/>
      <c r="CD82" s="1701"/>
      <c r="CE82" s="1702"/>
      <c r="CF82" s="745"/>
    </row>
    <row r="83" spans="1:174" s="1870" customFormat="1" ht="11.25" customHeight="1" x14ac:dyDescent="0.2">
      <c r="A83" s="1785"/>
      <c r="B83" s="1786"/>
      <c r="C83" s="1787"/>
      <c r="D83" s="1787"/>
      <c r="E83" s="1788"/>
      <c r="F83" s="1787"/>
      <c r="G83" s="1789"/>
      <c r="H83" s="1790"/>
      <c r="I83" s="1789"/>
      <c r="J83" s="1790"/>
      <c r="K83" s="1788"/>
      <c r="L83" s="1788"/>
      <c r="M83" s="1788"/>
      <c r="N83" s="1788"/>
      <c r="O83" s="1788"/>
      <c r="P83" s="1788"/>
      <c r="Q83" s="1788"/>
      <c r="R83" s="1788"/>
      <c r="S83" s="1788"/>
      <c r="T83" s="1791"/>
      <c r="U83" s="1792"/>
      <c r="V83" s="1331"/>
      <c r="W83" s="1793"/>
      <c r="X83" s="1794"/>
      <c r="Y83" s="1795"/>
      <c r="Z83" s="1795"/>
      <c r="AA83" s="1796"/>
      <c r="AB83" s="1797"/>
      <c r="AC83" s="1798"/>
      <c r="AD83" s="1799"/>
      <c r="AE83" s="1800"/>
      <c r="AF83" s="1801"/>
      <c r="AG83" s="1802"/>
      <c r="AH83" s="1803"/>
      <c r="AI83" s="1804"/>
      <c r="AJ83" s="1802"/>
      <c r="AK83" s="1805"/>
      <c r="AL83" s="1806"/>
      <c r="AM83" s="1807"/>
      <c r="AN83" s="1808"/>
      <c r="AO83" s="1809"/>
      <c r="AP83" s="1810"/>
      <c r="AQ83" s="1811"/>
      <c r="AR83" s="1812"/>
      <c r="AS83" s="1813"/>
      <c r="AT83" s="1814"/>
      <c r="AU83" s="1815"/>
      <c r="AV83" s="1816"/>
      <c r="AW83" s="1817"/>
      <c r="AX83" s="1818"/>
      <c r="AY83" s="1819"/>
      <c r="AZ83" s="1820"/>
      <c r="BA83" s="1821"/>
      <c r="BB83" s="1822"/>
      <c r="BC83" s="1823"/>
      <c r="BD83" s="1824"/>
      <c r="BE83" s="1824"/>
      <c r="BF83" s="1825"/>
      <c r="BG83" s="1826"/>
      <c r="BH83" s="1827"/>
      <c r="BI83" s="1828"/>
      <c r="BJ83" s="1829"/>
      <c r="BK83" s="1830"/>
      <c r="BL83" s="1829"/>
      <c r="BM83" s="1831"/>
      <c r="BN83" s="1807"/>
      <c r="BO83" s="1832"/>
      <c r="BP83" s="1833"/>
      <c r="BQ83" s="1834"/>
      <c r="BR83" s="1835"/>
      <c r="BS83" s="1817"/>
      <c r="BT83" s="1836"/>
      <c r="BU83" s="1817"/>
      <c r="BV83" s="1837"/>
      <c r="BW83" s="1838"/>
      <c r="BX83" s="1839"/>
      <c r="BY83" s="1840"/>
      <c r="BZ83" s="1825"/>
      <c r="CA83" s="1841"/>
      <c r="CB83" s="1842"/>
      <c r="CC83" s="1843"/>
      <c r="CD83" s="1796"/>
      <c r="CE83" s="1787"/>
      <c r="CF83" s="1787"/>
      <c r="CG83" s="1844"/>
      <c r="CH83" s="1787"/>
      <c r="CI83" s="1845"/>
      <c r="CJ83" s="1787"/>
      <c r="CK83" s="1846"/>
      <c r="CL83" s="1847"/>
      <c r="CM83" s="1848"/>
      <c r="CN83" s="1847"/>
      <c r="CO83" s="1849"/>
      <c r="CP83" s="1846"/>
      <c r="CQ83" s="1847"/>
      <c r="CR83" s="1848"/>
      <c r="CS83" s="1847"/>
      <c r="CT83" s="1849"/>
      <c r="CU83" s="1850"/>
      <c r="CV83" s="1851"/>
      <c r="CW83" s="1852"/>
      <c r="CX83" s="1853"/>
      <c r="CY83" s="1852"/>
      <c r="CZ83" s="1853"/>
      <c r="DA83" s="1852"/>
      <c r="DB83" s="1853"/>
      <c r="DC83" s="1854"/>
      <c r="DD83" s="1855"/>
      <c r="DE83" s="1855"/>
      <c r="DF83" s="1796"/>
      <c r="DG83" s="1796"/>
      <c r="DH83" s="1796"/>
      <c r="DI83" s="1796"/>
      <c r="DJ83" s="1796"/>
      <c r="DK83" s="1796"/>
      <c r="DL83" s="1825"/>
      <c r="DM83" s="1847"/>
      <c r="DN83" s="1856"/>
      <c r="DO83" s="1787"/>
      <c r="DP83" s="1857"/>
      <c r="DQ83" s="1856"/>
      <c r="DR83" s="1849"/>
      <c r="DS83" s="1858"/>
      <c r="DT83" s="1859"/>
      <c r="DU83" s="1860"/>
      <c r="DV83" s="1819"/>
      <c r="DW83" s="1861"/>
      <c r="DX83" s="1862"/>
      <c r="DY83" s="1861"/>
      <c r="DZ83" s="1814"/>
      <c r="EA83" s="1816"/>
      <c r="EB83" s="1863"/>
      <c r="EC83" s="1816"/>
      <c r="ED83" s="1864"/>
      <c r="EE83" s="1816"/>
      <c r="EF83" s="1865"/>
      <c r="EG83" s="1814"/>
      <c r="EH83" s="1816"/>
      <c r="EI83" s="1866"/>
      <c r="EJ83" s="1816"/>
      <c r="EK83" s="1864"/>
      <c r="EL83" s="1787"/>
      <c r="EM83" s="1846"/>
      <c r="EN83" s="1867"/>
      <c r="EO83" s="1819"/>
      <c r="EP83" s="1868"/>
      <c r="EQ83" s="1868"/>
      <c r="ER83" s="1868"/>
      <c r="ES83" s="1868"/>
      <c r="ET83" s="1868"/>
      <c r="EU83" s="1868"/>
      <c r="EV83" s="1868"/>
      <c r="EW83" s="1868"/>
      <c r="EX83" s="1868"/>
      <c r="EY83" s="1868"/>
      <c r="EZ83" s="1868"/>
      <c r="FA83" s="1868"/>
      <c r="FB83" s="1868"/>
      <c r="FC83" s="1868"/>
      <c r="FD83" s="1868"/>
      <c r="FE83" s="1868"/>
      <c r="FF83" s="1868"/>
      <c r="FG83" s="1868"/>
      <c r="FH83" s="1868"/>
      <c r="FI83" s="1868"/>
      <c r="FJ83" s="1868"/>
      <c r="FK83" s="1868"/>
      <c r="FL83" s="1868"/>
      <c r="FM83" s="1868"/>
      <c r="FN83" s="1869"/>
      <c r="FO83" s="1869"/>
      <c r="FP83" s="1869"/>
      <c r="FQ83" s="1869"/>
      <c r="FR83" s="1869"/>
    </row>
    <row r="84" spans="1:174" s="1868" customFormat="1" ht="11.25" customHeight="1" x14ac:dyDescent="0.2">
      <c r="A84" s="1785"/>
      <c r="B84" s="1786"/>
      <c r="C84" s="1787"/>
      <c r="D84" s="1787"/>
      <c r="E84" s="1788"/>
      <c r="F84" s="1787"/>
      <c r="G84" s="1789"/>
      <c r="H84" s="1790"/>
      <c r="I84" s="1789"/>
      <c r="J84" s="1790"/>
      <c r="K84" s="1788"/>
      <c r="L84" s="1871"/>
      <c r="M84" s="1330"/>
      <c r="N84" s="1872"/>
      <c r="O84" s="1873"/>
      <c r="P84" s="1874"/>
      <c r="Q84" s="1786"/>
      <c r="R84" s="1788"/>
      <c r="S84" s="1788"/>
      <c r="T84" s="1791"/>
      <c r="U84" s="1792"/>
      <c r="V84" s="1331"/>
      <c r="W84" s="1793"/>
      <c r="X84" s="1794"/>
      <c r="Y84" s="1795"/>
      <c r="Z84" s="1795"/>
      <c r="AA84" s="1796"/>
      <c r="AB84" s="1797"/>
      <c r="AC84" s="1798"/>
      <c r="AD84" s="1799"/>
      <c r="AE84" s="1800"/>
      <c r="AF84" s="1801"/>
      <c r="AG84" s="1802"/>
      <c r="AH84" s="1803"/>
      <c r="AI84" s="1805"/>
      <c r="AJ84" s="1802"/>
      <c r="AK84" s="1805"/>
      <c r="AL84" s="1806"/>
      <c r="AM84" s="1807"/>
      <c r="AN84" s="1808"/>
      <c r="AO84" s="1809"/>
      <c r="AP84" s="1810"/>
      <c r="AQ84" s="1811"/>
      <c r="AR84" s="1812"/>
      <c r="AS84" s="1813"/>
      <c r="AT84" s="1814"/>
      <c r="AU84" s="1817"/>
      <c r="AV84" s="1816"/>
      <c r="AW84" s="1817"/>
      <c r="AX84" s="1818"/>
      <c r="AY84" s="1819"/>
      <c r="AZ84" s="1875"/>
      <c r="BA84" s="1821"/>
      <c r="BB84" s="1822"/>
      <c r="BC84" s="1823"/>
      <c r="BD84" s="1824"/>
      <c r="BE84" s="1824"/>
      <c r="BF84" s="1825"/>
      <c r="BG84" s="1826"/>
      <c r="BH84" s="1827"/>
      <c r="BI84" s="1835"/>
      <c r="BJ84" s="1829"/>
      <c r="BK84" s="1876"/>
      <c r="BL84" s="1829"/>
      <c r="BM84" s="1837"/>
      <c r="BN84" s="1807"/>
      <c r="BO84" s="1832"/>
      <c r="BP84" s="1833"/>
      <c r="BQ84" s="1834"/>
      <c r="BR84" s="1835"/>
      <c r="BS84" s="1817"/>
      <c r="BT84" s="1877"/>
      <c r="BU84" s="1817"/>
      <c r="BV84" s="1837"/>
      <c r="BW84" s="1838"/>
      <c r="BX84" s="1839"/>
      <c r="BY84" s="1840"/>
      <c r="BZ84" s="1825"/>
      <c r="CA84" s="1841"/>
      <c r="CB84" s="1842"/>
      <c r="CC84" s="1843"/>
      <c r="CD84" s="1796"/>
      <c r="CE84" s="1787"/>
      <c r="CF84" s="1787"/>
      <c r="CG84" s="1878"/>
      <c r="CH84" s="1787"/>
      <c r="CI84" s="1879"/>
      <c r="CJ84" s="1787"/>
      <c r="CK84" s="1846"/>
      <c r="CL84" s="1847"/>
      <c r="CM84" s="1848"/>
      <c r="CN84" s="1847"/>
      <c r="CO84" s="1849"/>
      <c r="CP84" s="1846"/>
      <c r="CQ84" s="1847"/>
      <c r="CR84" s="1848"/>
      <c r="CS84" s="1847"/>
      <c r="CT84" s="1849"/>
      <c r="CU84" s="1850"/>
      <c r="CV84" s="1851"/>
      <c r="CW84" s="1852"/>
      <c r="CX84" s="1853"/>
      <c r="CY84" s="1852"/>
      <c r="CZ84" s="1853"/>
      <c r="DA84" s="1852"/>
      <c r="DB84" s="1853"/>
      <c r="DC84" s="1854"/>
      <c r="DD84" s="1855"/>
      <c r="DE84" s="1855"/>
      <c r="DF84" s="1796"/>
      <c r="DG84" s="1796"/>
      <c r="DH84" s="1796"/>
      <c r="DI84" s="1796"/>
      <c r="DJ84" s="1796"/>
      <c r="DK84" s="1796"/>
      <c r="DL84" s="1825"/>
      <c r="DM84" s="1847"/>
      <c r="DN84" s="1856"/>
      <c r="DO84" s="1787"/>
      <c r="DP84" s="1857"/>
      <c r="DQ84" s="1856"/>
      <c r="DR84" s="1849"/>
      <c r="DS84" s="1858"/>
      <c r="DT84" s="1859"/>
      <c r="DU84" s="1860"/>
      <c r="DV84" s="1819"/>
      <c r="DW84" s="1861"/>
      <c r="DX84" s="1862"/>
      <c r="DY84" s="1861"/>
      <c r="DZ84" s="1814"/>
      <c r="EA84" s="1816"/>
      <c r="EB84" s="1816"/>
      <c r="EC84" s="1816"/>
      <c r="ED84" s="1864"/>
      <c r="EE84" s="1816"/>
      <c r="EF84" s="1865"/>
      <c r="EG84" s="1814"/>
      <c r="EH84" s="1816"/>
      <c r="EI84" s="1816"/>
      <c r="EJ84" s="1816"/>
      <c r="EK84" s="1864"/>
      <c r="EL84" s="1787"/>
      <c r="EM84" s="1846"/>
      <c r="EN84" s="1867"/>
      <c r="EO84" s="1819"/>
    </row>
    <row r="85" spans="1:174" s="171" customFormat="1" ht="12.75" customHeight="1" x14ac:dyDescent="0.25">
      <c r="A85" s="100">
        <v>34</v>
      </c>
      <c r="B85" s="296">
        <v>72</v>
      </c>
      <c r="C85" s="31"/>
      <c r="D85" s="31" t="str">
        <f t="shared" ref="D85:D116" si="56">IF(F85="Nam","Ông","Bà")</f>
        <v>Ông</v>
      </c>
      <c r="E85" s="37" t="s">
        <v>15</v>
      </c>
      <c r="F85" s="31" t="s">
        <v>378</v>
      </c>
      <c r="G85" s="60" t="s">
        <v>270</v>
      </c>
      <c r="H85" s="508" t="s">
        <v>359</v>
      </c>
      <c r="I85" s="60" t="s">
        <v>348</v>
      </c>
      <c r="J85" s="508" t="s">
        <v>359</v>
      </c>
      <c r="K85" s="37" t="s">
        <v>321</v>
      </c>
      <c r="L85" s="157" t="s">
        <v>451</v>
      </c>
      <c r="M85" s="526" t="str">
        <f t="shared" ref="M85:M116" si="57">IF(L85="công chức","CC",IF(L85="viên chức","VC",IF(L85="người lao động","NLĐ","- - -")))</f>
        <v>VC</v>
      </c>
      <c r="N85" s="163"/>
      <c r="O85" s="509" t="str">
        <f t="shared" ref="O85:O116" si="58">IF(AND((Q85+0)&gt;0.3,(Q85+0)&lt;1.5),"CVụ","- -")</f>
        <v>CVụ</v>
      </c>
      <c r="P85" s="37" t="s">
        <v>390</v>
      </c>
      <c r="Q85" s="296">
        <f>VLOOKUP(P85,'- DLiêu Gốc -'!$C$2:$H$115,2,0)</f>
        <v>1</v>
      </c>
      <c r="R85" s="37"/>
      <c r="S85" s="190" t="s">
        <v>567</v>
      </c>
      <c r="T85" s="35" t="str">
        <f>VLOOKUP(Y85,'- DLiêu Gốc -'!$C$2:$H$60,5,0)</f>
        <v>A2</v>
      </c>
      <c r="U85" s="36" t="str">
        <f>VLOOKUP(Y85,'- DLiêu Gốc -'!$C$2:$H$60,6,0)</f>
        <v>A2.1</v>
      </c>
      <c r="V85" s="537" t="s">
        <v>424</v>
      </c>
      <c r="W85" s="295" t="str">
        <f t="shared" ref="W85:W116" si="59">IF(OR(Y85="Kỹ thuật viên đánh máy",Y85="Nhân viên đánh máy",Y85="Nhân viên kỹ thuật",Y85="Nhân viên văn thư",Y85="Nhân viên phục vụ",Y85="Lái xe cơ quan",Y85="Nhân viên bảo vệ"),"Nhân viên",Y85)</f>
        <v>Giảng viên chính (hạng II)</v>
      </c>
      <c r="X85" s="298" t="str">
        <f t="shared" ref="X85:X116" si="60">IF(W85="Nhân viên","01.005",Z85)</f>
        <v>V.07.01.02</v>
      </c>
      <c r="Y85" s="317" t="s">
        <v>431</v>
      </c>
      <c r="Z85" s="317" t="str">
        <f>VLOOKUP(Y85,'- DLiêu Gốc -'!$C$1:$H$133,2,0)</f>
        <v>V.07.01.02</v>
      </c>
      <c r="AA85" s="48" t="str">
        <f t="shared" ref="AA85:AA116" si="61">IF(OR(AND(BC85=36,BB85=3),AND(BC85=24,BB85=2),AND(BC85=12,BB85=1)),"Đến $",IF(OR(AND(BC85&gt;36,BB85=3),AND(BC85&gt;24,BB85=2),AND(BC85&gt;12,BB85=1)),"Dừng $","Lương"))</f>
        <v>Lương</v>
      </c>
      <c r="AB85" s="139">
        <v>4</v>
      </c>
      <c r="AC85" s="407" t="s">
        <v>359</v>
      </c>
      <c r="AD85" s="39">
        <v>8</v>
      </c>
      <c r="AE85" s="40">
        <f t="shared" ref="AE85:AE116" si="62">BD85+(AB85-1)*BE85</f>
        <v>5.42</v>
      </c>
      <c r="AF85" s="329"/>
      <c r="AG85" s="102"/>
      <c r="AH85" s="396"/>
      <c r="AI85" s="405" t="s">
        <v>359</v>
      </c>
      <c r="AJ85" s="102"/>
      <c r="AK85" s="405" t="s">
        <v>359</v>
      </c>
      <c r="AL85" s="397"/>
      <c r="AM85" s="126"/>
      <c r="AN85" s="49"/>
      <c r="AO85" s="249">
        <f t="shared" ref="AO85:AO91" si="63">AB85+1</f>
        <v>5</v>
      </c>
      <c r="AP85" s="185" t="str">
        <f t="shared" ref="AP85:AP91" si="64">IF(AD85=AB85,"%",IF(AD85&gt;AB85,"/"))</f>
        <v>/</v>
      </c>
      <c r="AQ85" s="80">
        <f t="shared" ref="AQ85:AQ91" si="65">IF(AND(AD85=AB85,AO85=4),5,IF(AND(AD85=AB85,AO85&gt;4),AO85+1,IF(AD85&gt;AB85,AD85)))</f>
        <v>8</v>
      </c>
      <c r="AR85" s="43">
        <f t="shared" ref="AR85:AR91" si="66">IF(AD85=AB85,"%",IF(AD85&gt;AB85,AE85+BE85))</f>
        <v>5.76</v>
      </c>
      <c r="AS85" s="333"/>
      <c r="AT85" s="44" t="s">
        <v>341</v>
      </c>
      <c r="AU85" s="395" t="s">
        <v>359</v>
      </c>
      <c r="AV85" s="45" t="s">
        <v>341</v>
      </c>
      <c r="AW85" s="395" t="s">
        <v>359</v>
      </c>
      <c r="AX85" s="46">
        <v>2021</v>
      </c>
      <c r="AY85" s="84"/>
      <c r="AZ85" s="386"/>
      <c r="BA85" s="392">
        <v>1.18</v>
      </c>
      <c r="BB85" s="47">
        <f t="shared" ref="BB85:BB116" si="67">IF(AND(AD85&gt;AB85,OR(BE85=0.18,BE85=0.2)),2,IF(AND(AD85&gt;AB85,OR(BE85=0.31,BE85=0.33,BE85=0.34,BE85=0.36)),3,IF(AD85=AB85,1)))</f>
        <v>3</v>
      </c>
      <c r="BC85" s="253">
        <f t="shared" ref="BC85:BC116" si="68">12*($AA$2-AX85)+($AA$3-AV85)-AM85</f>
        <v>-24253</v>
      </c>
      <c r="BD85" s="205">
        <f>VLOOKUP(Y85,'- DLiêu Gốc -'!$C$1:$F$60,3,0)</f>
        <v>4.4000000000000004</v>
      </c>
      <c r="BE85" s="205">
        <f>VLOOKUP(Y85,'- DLiêu Gốc -'!$C$1:$F$60,4,0)</f>
        <v>0.34</v>
      </c>
      <c r="BF85" s="53" t="str">
        <f t="shared" ref="BF85:BF116" si="69">IF(AND(BG85&gt;3,BY85=12),"Đến %",IF(AND(BG85&gt;3,BY85&gt;12,BY85&lt;120),"Dừng %",IF(AND(BG85&gt;3,BY85&lt;12),"PCTN","o-o-o")))</f>
        <v>PCTN</v>
      </c>
      <c r="BG85" s="54">
        <v>22</v>
      </c>
      <c r="BH85" s="343" t="s">
        <v>332</v>
      </c>
      <c r="BI85" s="56" t="s">
        <v>341</v>
      </c>
      <c r="BJ85" s="400" t="s">
        <v>359</v>
      </c>
      <c r="BK85" s="341">
        <v>10</v>
      </c>
      <c r="BL85" s="400" t="s">
        <v>359</v>
      </c>
      <c r="BM85" s="46">
        <v>2019</v>
      </c>
      <c r="BN85" s="126"/>
      <c r="BO85" s="58"/>
      <c r="BP85" s="55">
        <f>IF(BG85&gt;3,BG85+1,0)</f>
        <v>23</v>
      </c>
      <c r="BQ85" s="346" t="s">
        <v>332</v>
      </c>
      <c r="BR85" s="56" t="s">
        <v>341</v>
      </c>
      <c r="BS85" s="395" t="s">
        <v>359</v>
      </c>
      <c r="BT85" s="339">
        <v>10</v>
      </c>
      <c r="BU85" s="395" t="s">
        <v>359</v>
      </c>
      <c r="BV85" s="46">
        <v>2020</v>
      </c>
      <c r="BW85" s="57"/>
      <c r="BX85" s="125"/>
      <c r="BY85" s="254">
        <f t="shared" ref="BY85:BY116" si="70">IF(BG85&gt;3,(($BF$2-BV85)*12+($BF$3-BT85)-BN85),"- - -")</f>
        <v>-24250</v>
      </c>
      <c r="BZ85" s="53" t="str">
        <f t="shared" ref="BZ85:BZ107" si="71">IF(AND(CV85="Hưu",BG85&gt;3),12-(12*(DB85-BV85)+(DA85-BT85))-BN85,"- - -")</f>
        <v>- - -</v>
      </c>
      <c r="CA85" s="316" t="str">
        <f t="shared" ref="CA85:CA116" si="72">IF(OR(S85="Ban Tổ chức - Cán bộ",S85="Văn phòng Học viện",S85="Phó Giám đốc Thường trực Học viện",S85="Phó Giám đốc Học viện"),"Chánh Văn phòng Học viện, Trưởng Ban Tổ chức - Cán bộ",IF(OR(S85="Trung tâm Ngoại ngữ",S85="Trung tâm Tin học hành chính và Công nghệ thông tin",S85="Trung tâm Tin học - Thư viện",S85="Phân viện khu vực Tây Nguyên"),"Chánh Văn phòng Học viện, Trưởng Ban Tổ chức - Cán bộ, "&amp;CONCATENATE("Giám đốc ",S85),IF(S85="Tạp chí Quản lý nhà nước","Chánh Văn phòng Học viện, Trưởng Ban Tổ chức - Cán bộ, "&amp;CONCATENATE("Tổng Biên tập ",S85),IF(S85="Văn phòng Đảng uỷ Học viện","Chánh Văn phòng Học viện, Trưởng Ban Tổ chức - Cán bộ, "&amp;CONCATENATE("Chánh",S85),IF(S85="Viện Nghiên cứu Khoa học hành chính","Chánh Văn phòng Học viện, Trưởng Ban Tổ chức - Cán bộ, "&amp;CONCATENATE("Viện Trưởng ",S85),IF(OR(S85="Cơ sở Học viện Hành chính Quốc gia khu vực miền Trung",S85="Cơ sở Học viện Hành chính Quốc gia tại Thành phố Hồ Chí Minh"),"Chánh Văn phòng Học viện, Trưởng Ban Tổ chức - Cán bộ, "&amp;CONCATENATE("Thủ trưởng ",S85),"Chánh Văn phòng Học viện, Trưởng Ban Tổ chức - Cán bộ, "&amp;CONCATENATE("Trưởng ",S85)))))))</f>
        <v>Chánh Văn phòng Học viện, Trưởng Ban Tổ chức - Cán bộ, Trưởng Trung tâm Ngoại ngữ - Tin học và Thông tin - Thư viện</v>
      </c>
      <c r="CB85" s="59" t="str">
        <f t="shared" ref="CB85:CB116" si="73">IF(S85="Cơ sở Học viện Hành chính khu vực miền Trung","B",IF(S85="Phân viện Khu vực Tây Nguyên","C",IF(S85="Cơ sở Học viện Hành chính tại thành phố Hồ Chí Minh","D","A")))</f>
        <v>A</v>
      </c>
      <c r="CC85" s="38" t="str">
        <f t="shared" ref="CC85:CC102" si="74">IF(AND(AO85&gt;0,AB85&lt;(AD85-1),CD85&gt;0,CD85&lt;13,OR(AND(CJ85="Cùg Ng",($CC$2-CF85)&gt;BB85),CJ85="- - -")),"Sớm TT","=&gt; s")</f>
        <v>=&gt; s</v>
      </c>
      <c r="CD85" s="48">
        <f t="shared" ref="CD85:CD116" si="75">IF(BB85=3,36-(12*($CC$2-AX85)+(12-AV85)-AM85),IF(BB85=2,24-(12*($CC$2-AX85)+(12-AV85)-AM85),"---"))</f>
        <v>24277</v>
      </c>
      <c r="CE85" s="31" t="str">
        <f t="shared" ref="CE85:CE116" si="76">IF(CF85&gt;1,"S","---")</f>
        <v>S</v>
      </c>
      <c r="CF85" s="31">
        <v>2014</v>
      </c>
      <c r="CG85" s="303" t="s">
        <v>428</v>
      </c>
      <c r="CH85" s="31"/>
      <c r="CI85" s="31"/>
      <c r="CJ85" s="31" t="str">
        <f t="shared" ref="CJ85:CJ116" si="77">IF(X85=CG85,"Cùg Ng","- - -")</f>
        <v>Cùg Ng</v>
      </c>
      <c r="CK85" s="51" t="str">
        <f t="shared" ref="CK85:CK116" si="78">IF(CM85&gt;2000,"NN","- - -")</f>
        <v>NN</v>
      </c>
      <c r="CL85" s="61">
        <v>7</v>
      </c>
      <c r="CM85" s="62">
        <v>2012</v>
      </c>
      <c r="CN85" s="61"/>
      <c r="CO85" s="76"/>
      <c r="CP85" s="51" t="str">
        <f t="shared" ref="CP85:CP116" si="79">IF(CR85&gt;2000,"CN","- - -")</f>
        <v>- - -</v>
      </c>
      <c r="CQ85" s="61"/>
      <c r="CR85" s="62"/>
      <c r="CS85" s="61"/>
      <c r="CT85" s="76"/>
      <c r="CU85" s="65" t="str">
        <f t="shared" ref="CU85:CU106" si="80">IF(AND(CV85="Hưu",AB85&lt;(AD85-1),DC85&gt;0,DC85&lt;18,OR(BG85&lt;4,AND(BG85&gt;3,OR(BZ85&lt;3,BZ85&gt;5)))),"Lg Sớm",IF(AND(CV85="Hưu",AB85&gt;(AD85-2),OR(BE85=0.33,BE85=0.34),OR(BG85&lt;4,AND(BG85&gt;3,OR(BZ85&lt;3,BZ85&gt;5)))),"Nâng Ngạch",IF(AND(CV85="Hưu",BB85=1,DC85&gt;2,DC85&lt;6,OR(BG85&lt;4,AND(BG85&gt;3,OR(BZ85&lt;3,BZ85&gt;5)))),"Nâng PcVK cùng QĐ",IF(AND(CV85="Hưu",BG85&gt;3,BZ85&gt;2,BZ85&lt;6,AB85&lt;(AD85-1),DC85&gt;17,OR(BB85&gt;1,AND(BB85=1,OR(DC85&lt;3,DC85&gt;5)))),"Nâng PcNG cùng QĐ",IF(AND(CV85="Hưu",AB85&lt;(AD85-1),DC85&gt;0,DC85&lt;18,BG85&gt;3,BZ85&gt;2,BZ85&lt;6),"Nâng Lg Sớm +(PcNG cùng QĐ)",IF(AND(CV85="Hưu",AB85&gt;(AD85-2),OR(BE85=0.33,BE85=0.34),BG85&gt;3,BZ85&gt;2,BZ85&lt;6),"Nâng Ngạch +(PcNG cùng QĐ)",IF(AND(CV85="Hưu",BB85=1,DC85&gt;2,DC85&lt;6,BG85&gt;3,BZ85&gt;2,BZ85&lt;6),"Nâng (PcVK +PcNG) cùng QĐ",("---"))))))))</f>
        <v>---</v>
      </c>
      <c r="CV85" s="66" t="str">
        <f t="shared" ref="CV85:CV116" si="81">IF(AND(DG85&gt;DF85,DG85&lt;(DF85+13)),"Hưu",IF(AND(DG85&gt;(DF85+12),DG85&lt;1000),"Quá","/-/ /-/"))</f>
        <v>/-/ /-/</v>
      </c>
      <c r="CW85" s="63">
        <f t="shared" ref="CW85:CW116" si="82">IF((I85+0)&lt;12,(I85+0)+1,IF((I85+0)=12,1,IF((I85+0)&gt;12,(I85+0)-12)))</f>
        <v>10</v>
      </c>
      <c r="CX85" s="64">
        <f t="shared" ref="CX85:CX116" si="83">IF(OR((I85+0)=12,(I85+0)&gt;12),K85+DF85/12+1,IF(AND((I85+0)&gt;0,(I85+0)&lt;12),K85+DF85/12,"---"))</f>
        <v>2033</v>
      </c>
      <c r="CY85" s="63">
        <f t="shared" ref="CY85:CY116" si="84">IF(AND(CW85&gt;3,CW85&lt;13),CW85-3,IF(CW85&lt;4,CW85-3+12))</f>
        <v>7</v>
      </c>
      <c r="CZ85" s="64">
        <f t="shared" ref="CZ85:CZ116" si="85">IF(CY85&lt;CW85,CX85,IF(CY85&gt;CW85,CX85-1))</f>
        <v>2033</v>
      </c>
      <c r="DA85" s="63">
        <f t="shared" ref="DA85:DA116" si="86">IF(CW85&gt;6,CW85-6,IF(CW85=6,12,IF(CW85&lt;6,CW85+6)))</f>
        <v>4</v>
      </c>
      <c r="DB85" s="64">
        <f t="shared" ref="DB85:DB116" si="87">IF(CW85&gt;6,CX85,IF(CW85&lt;7,CX85-1))</f>
        <v>2033</v>
      </c>
      <c r="DC85" s="67" t="str">
        <f t="shared" ref="DC85:DC116" si="88">IF(AND(CV85="Hưu",BB85=3),36+AM85-(12*(DB85-AX85)+(DA85-AV85)),IF(AND(CV85="Hưu",BB85=2),24+AM85-(12*(DB85-AX85)+(DA85-AV85)),IF(AND(CV85="Hưu",BB85=1),12+AM85-(12*(DB85-AX85)+(DA85-AV85)),"- - -")))</f>
        <v>- - -</v>
      </c>
      <c r="DD85" s="68" t="str">
        <f t="shared" ref="DD85:DD116" si="89">IF(DE85&gt;0,"K.Dài",". .")</f>
        <v>. .</v>
      </c>
      <c r="DE85" s="68"/>
      <c r="DF85" s="48">
        <f t="shared" ref="DF85:DF116" si="90">IF(F85="Nam",(60+DE85)*12,IF(F85="Nữ",(55+DE85)*12,))</f>
        <v>720</v>
      </c>
      <c r="DG85" s="48">
        <f t="shared" ref="DG85:DG116" si="91">12*($CV$4-K85)+(12-I85)</f>
        <v>-23673</v>
      </c>
      <c r="DH85" s="48">
        <f t="shared" ref="DH85:DH116" si="92">$DL$4-K85</f>
        <v>-1973</v>
      </c>
      <c r="DI85" s="48" t="str">
        <f t="shared" ref="DI85:DI116" si="93">IF(AND(DH85&lt;35,F85="Nam"),"Nam dưới 35",IF(AND(DH85&lt;30,F85="Nữ"),"Nữ dưới 30",IF(AND(DH85&gt;34,DH85&lt;46,F85="Nam"),"Nam từ 35 - 45",IF(AND(DH85&gt;29,DH85&lt;41,F85="Nữ"),"Nữ từ 30 - 40",IF(AND(DH85&gt;45,DH85&lt;56,F85="Nam"),"Nam trên 45 - 55",IF(AND(DH85&gt;40,DH85&lt;51,F85="Nữ"),"Nữ trên 40 - 50",IF(AND(DH85&gt;55,F85="Nam"),"Nam trên 55","Nữ trên 50")))))))</f>
        <v>Nam dưới 35</v>
      </c>
      <c r="DJ85" s="48"/>
      <c r="DK85" s="297"/>
      <c r="DL85" s="53" t="str">
        <f t="shared" ref="DL85:DL116" si="94">IF(DH85&lt;31,"Đến 30",IF(AND(DH85&gt;30,DH85&lt;46),"31 - 45",IF(AND(DH85&gt;45,DH85&lt;70),"Trên 45")))</f>
        <v>Đến 30</v>
      </c>
      <c r="DM85" s="147" t="str">
        <f t="shared" ref="DM85:DM100" si="95">IF(DN85&gt;0,"TD","--")</f>
        <v>--</v>
      </c>
      <c r="DN85" s="146"/>
      <c r="DO85" s="31"/>
      <c r="DP85" s="146"/>
      <c r="DQ85" s="32"/>
      <c r="DR85" s="32"/>
      <c r="DS85" s="70"/>
      <c r="DT85" s="37"/>
      <c r="DU85" s="71"/>
      <c r="DV85" s="84"/>
      <c r="DW85" s="33"/>
      <c r="DX85" s="315" t="s">
        <v>107</v>
      </c>
      <c r="DY85" s="33"/>
      <c r="DZ85" s="44" t="s">
        <v>341</v>
      </c>
      <c r="EA85" s="45" t="s">
        <v>359</v>
      </c>
      <c r="EB85" s="45" t="s">
        <v>347</v>
      </c>
      <c r="EC85" s="45" t="s">
        <v>359</v>
      </c>
      <c r="ED85" s="72">
        <v>2012</v>
      </c>
      <c r="EE85" s="45">
        <f t="shared" ref="EE85:EE116" si="96">(DZ85+0)-(EG85+0)</f>
        <v>0</v>
      </c>
      <c r="EF85" s="73" t="str">
        <f t="shared" ref="EF85:EF116" si="97">IF(EE85&gt;0,"Sửa","- - -")</f>
        <v>- - -</v>
      </c>
      <c r="EG85" s="44" t="s">
        <v>341</v>
      </c>
      <c r="EH85" s="45" t="s">
        <v>359</v>
      </c>
      <c r="EI85" s="45" t="s">
        <v>347</v>
      </c>
      <c r="EJ85" s="45" t="s">
        <v>359</v>
      </c>
      <c r="EK85" s="72">
        <v>2012</v>
      </c>
      <c r="EL85" s="81">
        <v>3.99</v>
      </c>
      <c r="EM85" s="51" t="str">
        <f t="shared" ref="EM85:EM102" si="98">IF(AND(BE85&gt;0.34,AO85=1,OR(BD85=6.2,BD85=5.75)),((BD85-EL85)-2*0.34),IF(AND(BE85&gt;0.33,AO85=1,OR(BD85=4.4,BD85=4)),((BD85-EL85)-2*0.33),"- - -"))</f>
        <v>- - -</v>
      </c>
      <c r="EN85" s="74" t="str">
        <f t="shared" ref="EN85:EN116" si="99">IF(CV85="Hưu",12*(DB85-AX85)+(DA85-AV85),"---")</f>
        <v>---</v>
      </c>
      <c r="EO85" s="84"/>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row>
    <row r="86" spans="1:174" s="75" customFormat="1" ht="11.25" customHeight="1" x14ac:dyDescent="0.2">
      <c r="A86" s="100">
        <v>46</v>
      </c>
      <c r="B86" s="296">
        <v>84</v>
      </c>
      <c r="C86" s="31"/>
      <c r="D86" s="31" t="str">
        <f t="shared" si="56"/>
        <v>Ông</v>
      </c>
      <c r="E86" s="37" t="s">
        <v>301</v>
      </c>
      <c r="F86" s="31" t="s">
        <v>378</v>
      </c>
      <c r="G86" s="60" t="s">
        <v>273</v>
      </c>
      <c r="H86" s="508" t="s">
        <v>359</v>
      </c>
      <c r="I86" s="60" t="s">
        <v>343</v>
      </c>
      <c r="J86" s="508" t="s">
        <v>359</v>
      </c>
      <c r="K86" s="37">
        <v>1978</v>
      </c>
      <c r="L86" s="37" t="s">
        <v>434</v>
      </c>
      <c r="M86" s="37" t="str">
        <f t="shared" si="57"/>
        <v>NLĐ</v>
      </c>
      <c r="N86" s="37"/>
      <c r="O86" s="37" t="e">
        <f t="shared" si="58"/>
        <v>#N/A</v>
      </c>
      <c r="P86" s="37"/>
      <c r="Q86" s="37" t="e">
        <f>VLOOKUP(P86,'- DLiêu Gốc -'!$C$2:$H$115,2,0)</f>
        <v>#N/A</v>
      </c>
      <c r="R86" s="37" t="s">
        <v>573</v>
      </c>
      <c r="S86" s="37" t="s">
        <v>570</v>
      </c>
      <c r="T86" s="35" t="str">
        <f>VLOOKUP(Y86,'- DLiêu Gốc -'!$C$2:$H$60,5,0)</f>
        <v>A1</v>
      </c>
      <c r="U86" s="36" t="str">
        <f>VLOOKUP(Y86,'- DLiêu Gốc -'!$C$2:$H$60,6,0)</f>
        <v>- - -</v>
      </c>
      <c r="V86" s="537" t="s">
        <v>425</v>
      </c>
      <c r="W86" s="295" t="str">
        <f t="shared" si="59"/>
        <v>Chuyên viên</v>
      </c>
      <c r="X86" s="298" t="str">
        <f t="shared" si="60"/>
        <v>01.003</v>
      </c>
      <c r="Y86" s="317" t="s">
        <v>339</v>
      </c>
      <c r="Z86" s="317" t="str">
        <f>VLOOKUP(Y86,'- DLiêu Gốc -'!$C$1:$H$133,2,0)</f>
        <v>01.003</v>
      </c>
      <c r="AA86" s="48" t="str">
        <f t="shared" si="61"/>
        <v>Lương</v>
      </c>
      <c r="AB86" s="139">
        <v>5</v>
      </c>
      <c r="AC86" s="407" t="s">
        <v>359</v>
      </c>
      <c r="AD86" s="39">
        <v>9</v>
      </c>
      <c r="AE86" s="40">
        <f t="shared" si="62"/>
        <v>3.66</v>
      </c>
      <c r="AF86" s="329"/>
      <c r="AG86" s="102"/>
      <c r="AH86" s="396"/>
      <c r="AI86" s="405" t="s">
        <v>359</v>
      </c>
      <c r="AJ86" s="102"/>
      <c r="AK86" s="405" t="s">
        <v>359</v>
      </c>
      <c r="AL86" s="397"/>
      <c r="AM86" s="126"/>
      <c r="AN86" s="49"/>
      <c r="AO86" s="249">
        <f t="shared" si="63"/>
        <v>6</v>
      </c>
      <c r="AP86" s="185" t="str">
        <f t="shared" si="64"/>
        <v>/</v>
      </c>
      <c r="AQ86" s="80">
        <f t="shared" si="65"/>
        <v>9</v>
      </c>
      <c r="AR86" s="43">
        <f t="shared" si="66"/>
        <v>3.99</v>
      </c>
      <c r="AS86" s="333"/>
      <c r="AT86" s="44" t="s">
        <v>341</v>
      </c>
      <c r="AU86" s="395" t="s">
        <v>359</v>
      </c>
      <c r="AV86" s="45" t="s">
        <v>341</v>
      </c>
      <c r="AW86" s="395" t="s">
        <v>359</v>
      </c>
      <c r="AX86" s="46">
        <v>2021</v>
      </c>
      <c r="AY86" s="84"/>
      <c r="AZ86" s="390" t="s">
        <v>641</v>
      </c>
      <c r="BA86" s="392">
        <v>1.18</v>
      </c>
      <c r="BB86" s="47">
        <f t="shared" si="67"/>
        <v>3</v>
      </c>
      <c r="BC86" s="253">
        <f t="shared" si="68"/>
        <v>-24253</v>
      </c>
      <c r="BD86" s="205">
        <f>VLOOKUP(Y86,'- DLiêu Gốc -'!$C$1:$F$60,3,0)</f>
        <v>2.34</v>
      </c>
      <c r="BE86" s="205">
        <f>VLOOKUP(Y86,'- DLiêu Gốc -'!$C$1:$F$60,4,0)</f>
        <v>0.33</v>
      </c>
      <c r="BF86" s="53" t="str">
        <f t="shared" si="69"/>
        <v>o-o-o</v>
      </c>
      <c r="BG86" s="54"/>
      <c r="BH86" s="343"/>
      <c r="BI86" s="342"/>
      <c r="BJ86" s="400"/>
      <c r="BK86" s="336"/>
      <c r="BL86" s="400"/>
      <c r="BM86" s="101"/>
      <c r="BN86" s="126"/>
      <c r="BO86" s="58"/>
      <c r="BP86" s="55"/>
      <c r="BQ86" s="346"/>
      <c r="BR86" s="56"/>
      <c r="BS86" s="395"/>
      <c r="BT86" s="337"/>
      <c r="BU86" s="395"/>
      <c r="BV86" s="46"/>
      <c r="BW86" s="57"/>
      <c r="BX86" s="125"/>
      <c r="BY86" s="254" t="str">
        <f t="shared" si="70"/>
        <v>- - -</v>
      </c>
      <c r="BZ86" s="53" t="str">
        <f t="shared" si="71"/>
        <v>- - -</v>
      </c>
      <c r="CA86" s="316" t="str">
        <f t="shared" si="72"/>
        <v>Chánh Văn phòng Học viện, Trưởng Ban Tổ chức - Cán bộ, Trưởng Ban Tổ chức cán bộ</v>
      </c>
      <c r="CB86" s="59" t="str">
        <f t="shared" si="73"/>
        <v>A</v>
      </c>
      <c r="CC86" s="38" t="str">
        <f t="shared" si="74"/>
        <v>=&gt; s</v>
      </c>
      <c r="CD86" s="48">
        <f t="shared" si="75"/>
        <v>24277</v>
      </c>
      <c r="CE86" s="31" t="str">
        <f t="shared" si="76"/>
        <v>---</v>
      </c>
      <c r="CF86" s="31"/>
      <c r="CG86" s="303"/>
      <c r="CH86" s="31"/>
      <c r="CI86" s="31"/>
      <c r="CJ86" s="31" t="str">
        <f t="shared" si="77"/>
        <v>- - -</v>
      </c>
      <c r="CK86" s="51" t="str">
        <f t="shared" si="78"/>
        <v>- - -</v>
      </c>
      <c r="CL86" s="61"/>
      <c r="CM86" s="62"/>
      <c r="CN86" s="61"/>
      <c r="CO86" s="76"/>
      <c r="CP86" s="51" t="str">
        <f t="shared" si="79"/>
        <v>- - -</v>
      </c>
      <c r="CQ86" s="61"/>
      <c r="CR86" s="32"/>
      <c r="CS86" s="61"/>
      <c r="CT86" s="76"/>
      <c r="CU86" s="65" t="str">
        <f t="shared" si="80"/>
        <v>---</v>
      </c>
      <c r="CV86" s="66" t="str">
        <f t="shared" si="81"/>
        <v>/-/ /-/</v>
      </c>
      <c r="CW86" s="63">
        <f t="shared" si="82"/>
        <v>6</v>
      </c>
      <c r="CX86" s="64">
        <f t="shared" si="83"/>
        <v>2038</v>
      </c>
      <c r="CY86" s="63">
        <f t="shared" si="84"/>
        <v>3</v>
      </c>
      <c r="CZ86" s="64">
        <f t="shared" si="85"/>
        <v>2038</v>
      </c>
      <c r="DA86" s="63">
        <f t="shared" si="86"/>
        <v>12</v>
      </c>
      <c r="DB86" s="64">
        <f t="shared" si="87"/>
        <v>2037</v>
      </c>
      <c r="DC86" s="67" t="str">
        <f t="shared" si="88"/>
        <v>- - -</v>
      </c>
      <c r="DD86" s="68" t="str">
        <f t="shared" si="89"/>
        <v>. .</v>
      </c>
      <c r="DE86" s="68"/>
      <c r="DF86" s="48">
        <f t="shared" si="90"/>
        <v>720</v>
      </c>
      <c r="DG86" s="48">
        <f t="shared" si="91"/>
        <v>-23729</v>
      </c>
      <c r="DH86" s="48">
        <f t="shared" si="92"/>
        <v>-1978</v>
      </c>
      <c r="DI86" s="48" t="str">
        <f t="shared" si="93"/>
        <v>Nam dưới 35</v>
      </c>
      <c r="DJ86" s="48"/>
      <c r="DK86" s="48"/>
      <c r="DL86" s="53" t="str">
        <f t="shared" si="94"/>
        <v>Đến 30</v>
      </c>
      <c r="DM86" s="147" t="str">
        <f t="shared" si="95"/>
        <v>--</v>
      </c>
      <c r="DN86" s="146"/>
      <c r="DO86" s="31"/>
      <c r="DP86" s="146"/>
      <c r="DQ86" s="32"/>
      <c r="DR86" s="32"/>
      <c r="DS86" s="70"/>
      <c r="DT86" s="37"/>
      <c r="DU86" s="71"/>
      <c r="DV86" s="84"/>
      <c r="DW86" s="33" t="s">
        <v>337</v>
      </c>
      <c r="DX86" s="315" t="s">
        <v>107</v>
      </c>
      <c r="DY86" s="33" t="s">
        <v>337</v>
      </c>
      <c r="DZ86" s="44" t="s">
        <v>341</v>
      </c>
      <c r="EA86" s="45" t="s">
        <v>359</v>
      </c>
      <c r="EB86" s="45" t="s">
        <v>341</v>
      </c>
      <c r="EC86" s="45" t="s">
        <v>359</v>
      </c>
      <c r="ED86" s="72" t="s">
        <v>377</v>
      </c>
      <c r="EE86" s="45">
        <f t="shared" si="96"/>
        <v>0</v>
      </c>
      <c r="EF86" s="73" t="str">
        <f t="shared" si="97"/>
        <v>- - -</v>
      </c>
      <c r="EG86" s="44" t="s">
        <v>341</v>
      </c>
      <c r="EH86" s="45" t="s">
        <v>359</v>
      </c>
      <c r="EI86" s="45" t="s">
        <v>341</v>
      </c>
      <c r="EJ86" s="45" t="s">
        <v>359</v>
      </c>
      <c r="EK86" s="72" t="s">
        <v>377</v>
      </c>
      <c r="EL86" s="31"/>
      <c r="EM86" s="51" t="str">
        <f t="shared" si="98"/>
        <v>- - -</v>
      </c>
      <c r="EN86" s="74" t="str">
        <f t="shared" si="99"/>
        <v>---</v>
      </c>
      <c r="EO86" s="84"/>
      <c r="EP86" s="106"/>
      <c r="EQ86" s="106"/>
      <c r="ER86" s="106"/>
      <c r="ES86" s="106"/>
      <c r="ET86" s="106"/>
      <c r="EU86" s="106"/>
      <c r="EV86" s="106"/>
      <c r="EW86" s="106"/>
      <c r="EX86" s="106"/>
      <c r="EY86" s="106"/>
      <c r="EZ86" s="106"/>
      <c r="FA86" s="106"/>
      <c r="FB86" s="106"/>
      <c r="FC86" s="106"/>
      <c r="FD86" s="106"/>
      <c r="FE86" s="106"/>
      <c r="FF86" s="106"/>
      <c r="FG86" s="106"/>
      <c r="FH86" s="106"/>
      <c r="FI86" s="106"/>
      <c r="FJ86" s="106"/>
      <c r="FK86" s="106"/>
      <c r="FL86" s="106"/>
      <c r="FM86" s="106"/>
      <c r="FN86" s="106"/>
      <c r="FO86" s="106"/>
      <c r="FP86" s="106"/>
      <c r="FQ86" s="106"/>
      <c r="FR86" s="106"/>
    </row>
    <row r="87" spans="1:174" s="106" customFormat="1" ht="11.25" customHeight="1" x14ac:dyDescent="0.2">
      <c r="A87" s="100">
        <v>173</v>
      </c>
      <c r="B87" s="296">
        <v>358</v>
      </c>
      <c r="C87" s="31"/>
      <c r="D87" s="31" t="str">
        <f t="shared" si="56"/>
        <v>Bà</v>
      </c>
      <c r="E87" s="37" t="s">
        <v>286</v>
      </c>
      <c r="F87" s="31" t="s">
        <v>380</v>
      </c>
      <c r="G87" s="60" t="s">
        <v>342</v>
      </c>
      <c r="H87" s="508" t="s">
        <v>359</v>
      </c>
      <c r="I87" s="60">
        <v>5</v>
      </c>
      <c r="J87" s="508" t="s">
        <v>359</v>
      </c>
      <c r="K87" s="37">
        <v>1979</v>
      </c>
      <c r="L87" s="157" t="s">
        <v>451</v>
      </c>
      <c r="M87" s="526" t="str">
        <f t="shared" si="57"/>
        <v>VC</v>
      </c>
      <c r="N87" s="163"/>
      <c r="O87" s="509" t="str">
        <f t="shared" si="58"/>
        <v>CVụ</v>
      </c>
      <c r="P87" s="37" t="s">
        <v>249</v>
      </c>
      <c r="Q87" s="296">
        <f>VLOOKUP(P87,'- DLiêu Gốc -'!$C$2:$H$115,2,0)</f>
        <v>0.6</v>
      </c>
      <c r="R87" s="37" t="s">
        <v>628</v>
      </c>
      <c r="S87" s="190" t="s">
        <v>564</v>
      </c>
      <c r="T87" s="35" t="str">
        <f>VLOOKUP(Y87,'- DLiêu Gốc -'!$C$2:$H$60,5,0)</f>
        <v>A1</v>
      </c>
      <c r="U87" s="36" t="str">
        <f>VLOOKUP(Y87,'- DLiêu Gốc -'!$C$2:$H$60,6,0)</f>
        <v>- - -</v>
      </c>
      <c r="V87" s="537" t="s">
        <v>424</v>
      </c>
      <c r="W87" s="295" t="str">
        <f t="shared" si="59"/>
        <v>Giảng viên (hạng III)</v>
      </c>
      <c r="X87" s="298" t="str">
        <f t="shared" si="60"/>
        <v>V.07.01.03</v>
      </c>
      <c r="Y87" s="317" t="s">
        <v>430</v>
      </c>
      <c r="Z87" s="317" t="str">
        <f>VLOOKUP(Y87,'- DLiêu Gốc -'!$C$1:$H$133,2,0)</f>
        <v>V.07.01.03</v>
      </c>
      <c r="AA87" s="48" t="str">
        <f t="shared" si="61"/>
        <v>Lương</v>
      </c>
      <c r="AB87" s="139">
        <v>6</v>
      </c>
      <c r="AC87" s="407" t="s">
        <v>359</v>
      </c>
      <c r="AD87" s="39">
        <v>9</v>
      </c>
      <c r="AE87" s="40">
        <f t="shared" si="62"/>
        <v>3.99</v>
      </c>
      <c r="AF87" s="329"/>
      <c r="AG87" s="102"/>
      <c r="AH87" s="396"/>
      <c r="AI87" s="405" t="s">
        <v>359</v>
      </c>
      <c r="AJ87" s="102"/>
      <c r="AK87" s="405" t="s">
        <v>359</v>
      </c>
      <c r="AL87" s="406"/>
      <c r="AM87" s="126"/>
      <c r="AN87" s="49"/>
      <c r="AO87" s="249">
        <f t="shared" si="63"/>
        <v>7</v>
      </c>
      <c r="AP87" s="185" t="str">
        <f t="shared" si="64"/>
        <v>/</v>
      </c>
      <c r="AQ87" s="80">
        <f t="shared" si="65"/>
        <v>9</v>
      </c>
      <c r="AR87" s="424">
        <f t="shared" si="66"/>
        <v>4.32</v>
      </c>
      <c r="AS87" s="43"/>
      <c r="AT87" s="44" t="s">
        <v>341</v>
      </c>
      <c r="AU87" s="395" t="s">
        <v>359</v>
      </c>
      <c r="AV87" s="45" t="s">
        <v>341</v>
      </c>
      <c r="AW87" s="395" t="s">
        <v>359</v>
      </c>
      <c r="AX87" s="46">
        <v>2021</v>
      </c>
      <c r="AY87" s="84"/>
      <c r="AZ87" s="191"/>
      <c r="BA87" s="392">
        <v>1.18</v>
      </c>
      <c r="BB87" s="47">
        <f t="shared" si="67"/>
        <v>3</v>
      </c>
      <c r="BC87" s="253">
        <f t="shared" si="68"/>
        <v>-24253</v>
      </c>
      <c r="BD87" s="205">
        <f>VLOOKUP(Y87,'- DLiêu Gốc -'!$C$1:$F$60,3,0)</f>
        <v>2.34</v>
      </c>
      <c r="BE87" s="205">
        <f>VLOOKUP(Y87,'- DLiêu Gốc -'!$C$1:$F$60,4,0)</f>
        <v>0.33</v>
      </c>
      <c r="BF87" s="53" t="str">
        <f t="shared" si="69"/>
        <v>PCTN</v>
      </c>
      <c r="BG87" s="54">
        <v>16</v>
      </c>
      <c r="BH87" s="343" t="s">
        <v>332</v>
      </c>
      <c r="BI87" s="56" t="s">
        <v>341</v>
      </c>
      <c r="BJ87" s="400" t="s">
        <v>359</v>
      </c>
      <c r="BK87" s="341">
        <v>5</v>
      </c>
      <c r="BL87" s="400" t="s">
        <v>359</v>
      </c>
      <c r="BM87" s="178">
        <v>2019</v>
      </c>
      <c r="BN87" s="126"/>
      <c r="BO87" s="58"/>
      <c r="BP87" s="55">
        <f>IF(BG87&gt;3,BG87+1,0)</f>
        <v>17</v>
      </c>
      <c r="BQ87" s="346" t="s">
        <v>332</v>
      </c>
      <c r="BR87" s="56" t="s">
        <v>341</v>
      </c>
      <c r="BS87" s="395" t="s">
        <v>359</v>
      </c>
      <c r="BT87" s="339">
        <v>5</v>
      </c>
      <c r="BU87" s="395" t="s">
        <v>359</v>
      </c>
      <c r="BV87" s="46">
        <v>2020</v>
      </c>
      <c r="BW87" s="57"/>
      <c r="BX87" s="125">
        <v>5</v>
      </c>
      <c r="BY87" s="254">
        <f t="shared" si="70"/>
        <v>-24245</v>
      </c>
      <c r="BZ87" s="53" t="str">
        <f t="shared" si="71"/>
        <v>- - -</v>
      </c>
      <c r="CA87" s="316" t="str">
        <f t="shared" si="72"/>
        <v>Chánh Văn phòng Học viện, Trưởng Ban Tổ chức - Cán bộ, Trưởng Khoa Khoa học hành chính và Tổ chức nhân sự</v>
      </c>
      <c r="CB87" s="59" t="str">
        <f t="shared" si="73"/>
        <v>A</v>
      </c>
      <c r="CC87" s="38" t="str">
        <f t="shared" si="74"/>
        <v>=&gt; s</v>
      </c>
      <c r="CD87" s="48">
        <f t="shared" si="75"/>
        <v>24277</v>
      </c>
      <c r="CE87" s="31" t="str">
        <f t="shared" si="76"/>
        <v>---</v>
      </c>
      <c r="CF87" s="31"/>
      <c r="CG87" s="298"/>
      <c r="CH87" s="31"/>
      <c r="CI87" s="105"/>
      <c r="CJ87" s="31" t="str">
        <f t="shared" si="77"/>
        <v>- - -</v>
      </c>
      <c r="CK87" s="51" t="str">
        <f t="shared" si="78"/>
        <v>- - -</v>
      </c>
      <c r="CL87" s="61"/>
      <c r="CM87" s="62"/>
      <c r="CN87" s="61"/>
      <c r="CO87" s="76"/>
      <c r="CP87" s="51" t="str">
        <f t="shared" si="79"/>
        <v>- - -</v>
      </c>
      <c r="CQ87" s="61"/>
      <c r="CR87" s="146"/>
      <c r="CS87" s="61"/>
      <c r="CT87" s="76"/>
      <c r="CU87" s="65" t="str">
        <f t="shared" si="80"/>
        <v>---</v>
      </c>
      <c r="CV87" s="66" t="str">
        <f t="shared" si="81"/>
        <v>/-/ /-/</v>
      </c>
      <c r="CW87" s="63">
        <f t="shared" si="82"/>
        <v>6</v>
      </c>
      <c r="CX87" s="64">
        <f t="shared" si="83"/>
        <v>2034</v>
      </c>
      <c r="CY87" s="63">
        <f t="shared" si="84"/>
        <v>3</v>
      </c>
      <c r="CZ87" s="64">
        <f t="shared" si="85"/>
        <v>2034</v>
      </c>
      <c r="DA87" s="63">
        <f t="shared" si="86"/>
        <v>12</v>
      </c>
      <c r="DB87" s="64">
        <f t="shared" si="87"/>
        <v>2033</v>
      </c>
      <c r="DC87" s="67" t="str">
        <f t="shared" si="88"/>
        <v>- - -</v>
      </c>
      <c r="DD87" s="68" t="str">
        <f t="shared" si="89"/>
        <v>. .</v>
      </c>
      <c r="DE87" s="68"/>
      <c r="DF87" s="48">
        <f t="shared" si="90"/>
        <v>660</v>
      </c>
      <c r="DG87" s="48">
        <f t="shared" si="91"/>
        <v>-23741</v>
      </c>
      <c r="DH87" s="48">
        <f t="shared" si="92"/>
        <v>-1979</v>
      </c>
      <c r="DI87" s="48" t="str">
        <f t="shared" si="93"/>
        <v>Nữ dưới 30</v>
      </c>
      <c r="DJ87" s="48"/>
      <c r="DK87" s="48"/>
      <c r="DL87" s="53" t="str">
        <f t="shared" si="94"/>
        <v>Đến 30</v>
      </c>
      <c r="DM87" s="61" t="str">
        <f t="shared" si="95"/>
        <v>--</v>
      </c>
      <c r="DN87" s="32"/>
      <c r="DO87" s="31"/>
      <c r="DP87" s="69"/>
      <c r="DQ87" s="32"/>
      <c r="DR87" s="76"/>
      <c r="DS87" s="77"/>
      <c r="DT87" s="78"/>
      <c r="DU87" s="71"/>
      <c r="DV87" s="37"/>
      <c r="DW87" s="765" t="s">
        <v>467</v>
      </c>
      <c r="DX87" s="315" t="s">
        <v>118</v>
      </c>
      <c r="DY87" s="33" t="s">
        <v>315</v>
      </c>
      <c r="DZ87" s="44" t="s">
        <v>341</v>
      </c>
      <c r="EA87" s="45" t="s">
        <v>359</v>
      </c>
      <c r="EB87" s="45" t="s">
        <v>341</v>
      </c>
      <c r="EC87" s="45" t="s">
        <v>359</v>
      </c>
      <c r="ED87" s="72" t="s">
        <v>377</v>
      </c>
      <c r="EE87" s="45">
        <f t="shared" si="96"/>
        <v>0</v>
      </c>
      <c r="EF87" s="73" t="str">
        <f t="shared" si="97"/>
        <v>- - -</v>
      </c>
      <c r="EG87" s="44" t="s">
        <v>341</v>
      </c>
      <c r="EH87" s="45" t="s">
        <v>359</v>
      </c>
      <c r="EI87" s="45" t="s">
        <v>341</v>
      </c>
      <c r="EJ87" s="45" t="s">
        <v>359</v>
      </c>
      <c r="EK87" s="72" t="s">
        <v>377</v>
      </c>
      <c r="EL87" s="31"/>
      <c r="EM87" s="51" t="str">
        <f t="shared" si="98"/>
        <v>- - -</v>
      </c>
      <c r="EN87" s="74" t="str">
        <f t="shared" si="99"/>
        <v>---</v>
      </c>
      <c r="EO87" s="84"/>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554"/>
      <c r="FN87" s="554"/>
      <c r="FO87" s="554"/>
      <c r="FP87" s="554"/>
      <c r="FQ87" s="554"/>
      <c r="FR87" s="554"/>
    </row>
    <row r="88" spans="1:174" s="75" customFormat="1" ht="11.25" customHeight="1" x14ac:dyDescent="0.2">
      <c r="A88" s="100">
        <v>210</v>
      </c>
      <c r="B88" s="296">
        <v>230</v>
      </c>
      <c r="C88" s="197" t="s">
        <v>387</v>
      </c>
      <c r="D88" s="197" t="str">
        <f t="shared" si="56"/>
        <v>Ông</v>
      </c>
      <c r="E88" s="245" t="s">
        <v>471</v>
      </c>
      <c r="F88" s="197" t="s">
        <v>378</v>
      </c>
      <c r="G88" s="511" t="s">
        <v>399</v>
      </c>
      <c r="H88" s="512" t="s">
        <v>359</v>
      </c>
      <c r="I88" s="511" t="s">
        <v>344</v>
      </c>
      <c r="J88" s="512" t="s">
        <v>359</v>
      </c>
      <c r="K88" s="198">
        <v>1969</v>
      </c>
      <c r="L88" s="209" t="s">
        <v>451</v>
      </c>
      <c r="M88" s="202" t="str">
        <f t="shared" si="57"/>
        <v>VC</v>
      </c>
      <c r="N88" s="415"/>
      <c r="O88" s="513" t="str">
        <f t="shared" si="58"/>
        <v>CVụ</v>
      </c>
      <c r="P88" s="198" t="s">
        <v>250</v>
      </c>
      <c r="Q88" s="320">
        <f>VLOOKUP(P88,'- DLiêu Gốc -'!$C$2:$H$115,2,0)</f>
        <v>0.4</v>
      </c>
      <c r="R88" s="238" t="s">
        <v>131</v>
      </c>
      <c r="S88" s="198" t="s">
        <v>562</v>
      </c>
      <c r="T88" s="200" t="str">
        <f>VLOOKUP(Y88,'- DLiêu Gốc -'!$C$2:$H$60,5,0)</f>
        <v>A2</v>
      </c>
      <c r="U88" s="201" t="str">
        <f>VLOOKUP(Y88,'- DLiêu Gốc -'!$C$2:$H$60,6,0)</f>
        <v>A2.1</v>
      </c>
      <c r="V88" s="225" t="s">
        <v>424</v>
      </c>
      <c r="W88" s="322" t="str">
        <f t="shared" si="59"/>
        <v>Giảng viên chính (hạng II)</v>
      </c>
      <c r="X88" s="225" t="str">
        <f t="shared" si="60"/>
        <v>V.07.01.02</v>
      </c>
      <c r="Y88" s="225" t="s">
        <v>431</v>
      </c>
      <c r="Z88" s="323" t="str">
        <f>VLOOKUP(Y88,'- DLiêu Gốc -'!$C$1:$H$133,2,0)</f>
        <v>V.07.01.02</v>
      </c>
      <c r="AA88" s="202" t="str">
        <f t="shared" si="61"/>
        <v>Lương</v>
      </c>
      <c r="AB88" s="1417">
        <v>4</v>
      </c>
      <c r="AC88" s="408" t="s">
        <v>359</v>
      </c>
      <c r="AD88" s="204">
        <v>8</v>
      </c>
      <c r="AE88" s="205">
        <f t="shared" si="62"/>
        <v>5.42</v>
      </c>
      <c r="AF88" s="382"/>
      <c r="AG88" s="207"/>
      <c r="AH88" s="416"/>
      <c r="AI88" s="405" t="s">
        <v>359</v>
      </c>
      <c r="AJ88" s="207"/>
      <c r="AK88" s="405" t="s">
        <v>359</v>
      </c>
      <c r="AL88" s="417"/>
      <c r="AM88" s="216"/>
      <c r="AN88" s="217"/>
      <c r="AO88" s="441">
        <f t="shared" si="63"/>
        <v>5</v>
      </c>
      <c r="AP88" s="757" t="str">
        <f t="shared" si="64"/>
        <v>/</v>
      </c>
      <c r="AQ88" s="208">
        <f t="shared" si="65"/>
        <v>8</v>
      </c>
      <c r="AR88" s="757">
        <f t="shared" si="66"/>
        <v>5.76</v>
      </c>
      <c r="AS88" s="334"/>
      <c r="AT88" s="210" t="s">
        <v>341</v>
      </c>
      <c r="AU88" s="399" t="s">
        <v>359</v>
      </c>
      <c r="AV88" s="212" t="s">
        <v>341</v>
      </c>
      <c r="AW88" s="399" t="s">
        <v>359</v>
      </c>
      <c r="AX88" s="46">
        <v>2021</v>
      </c>
      <c r="AY88" s="243"/>
      <c r="AZ88" s="387"/>
      <c r="BA88" s="392">
        <v>1.18</v>
      </c>
      <c r="BB88" s="215">
        <f t="shared" si="67"/>
        <v>3</v>
      </c>
      <c r="BC88" s="324">
        <f t="shared" si="68"/>
        <v>-24253</v>
      </c>
      <c r="BD88" s="205">
        <f>VLOOKUP(Y88,'- DLiêu Gốc -'!$C$1:$F$60,3,0)</f>
        <v>4.4000000000000004</v>
      </c>
      <c r="BE88" s="205">
        <f>VLOOKUP(Y88,'- DLiêu Gốc -'!$C$1:$F$60,4,0)</f>
        <v>0.34</v>
      </c>
      <c r="BF88" s="218" t="str">
        <f t="shared" si="69"/>
        <v>PCTN</v>
      </c>
      <c r="BG88" s="219">
        <v>27</v>
      </c>
      <c r="BH88" s="344" t="s">
        <v>332</v>
      </c>
      <c r="BI88" s="418" t="s">
        <v>341</v>
      </c>
      <c r="BJ88" s="399" t="s">
        <v>359</v>
      </c>
      <c r="BK88" s="340" t="s">
        <v>348</v>
      </c>
      <c r="BL88" s="399" t="s">
        <v>359</v>
      </c>
      <c r="BM88" s="46">
        <v>2019</v>
      </c>
      <c r="BN88" s="216"/>
      <c r="BO88" s="222"/>
      <c r="BP88" s="220">
        <f>IF(BG88&gt;3,BG88+1,0)</f>
        <v>28</v>
      </c>
      <c r="BQ88" s="419" t="s">
        <v>332</v>
      </c>
      <c r="BR88" s="418" t="s">
        <v>341</v>
      </c>
      <c r="BS88" s="395" t="s">
        <v>359</v>
      </c>
      <c r="BT88" s="340" t="s">
        <v>348</v>
      </c>
      <c r="BU88" s="395" t="s">
        <v>359</v>
      </c>
      <c r="BV88" s="46">
        <v>2020</v>
      </c>
      <c r="BW88" s="221"/>
      <c r="BX88" s="125"/>
      <c r="BY88" s="325">
        <f t="shared" si="70"/>
        <v>-24249</v>
      </c>
      <c r="BZ88" s="218" t="str">
        <f t="shared" si="71"/>
        <v>- - -</v>
      </c>
      <c r="CA88" s="198" t="str">
        <f t="shared" si="72"/>
        <v>Chánh Văn phòng Học viện, Trưởng Ban Tổ chức - Cán bộ, Trưởng Khoa Nhà nước - Pháp luật và Lý luận cơ sở</v>
      </c>
      <c r="CB88" s="223" t="str">
        <f t="shared" si="73"/>
        <v>A</v>
      </c>
      <c r="CC88" s="224" t="str">
        <f t="shared" si="74"/>
        <v>=&gt; s</v>
      </c>
      <c r="CD88" s="202">
        <f t="shared" si="75"/>
        <v>24277</v>
      </c>
      <c r="CE88" s="197" t="str">
        <f t="shared" si="76"/>
        <v>---</v>
      </c>
      <c r="CF88" s="197"/>
      <c r="CG88" s="314"/>
      <c r="CH88" s="197"/>
      <c r="CI88" s="326"/>
      <c r="CJ88" s="197" t="str">
        <f t="shared" si="77"/>
        <v>- - -</v>
      </c>
      <c r="CK88" s="226" t="str">
        <f t="shared" si="78"/>
        <v>- - -</v>
      </c>
      <c r="CL88" s="227"/>
      <c r="CM88" s="228"/>
      <c r="CN88" s="227"/>
      <c r="CO88" s="229"/>
      <c r="CP88" s="226" t="str">
        <f t="shared" si="79"/>
        <v>- - -</v>
      </c>
      <c r="CQ88" s="227"/>
      <c r="CR88" s="427"/>
      <c r="CS88" s="227"/>
      <c r="CT88" s="229"/>
      <c r="CU88" s="230" t="str">
        <f t="shared" si="80"/>
        <v>---</v>
      </c>
      <c r="CV88" s="231" t="str">
        <f t="shared" si="81"/>
        <v>/-/ /-/</v>
      </c>
      <c r="CW88" s="232">
        <f t="shared" si="82"/>
        <v>7</v>
      </c>
      <c r="CX88" s="233">
        <f t="shared" si="83"/>
        <v>2029</v>
      </c>
      <c r="CY88" s="232">
        <f t="shared" si="84"/>
        <v>4</v>
      </c>
      <c r="CZ88" s="233">
        <f t="shared" si="85"/>
        <v>2029</v>
      </c>
      <c r="DA88" s="232">
        <f t="shared" si="86"/>
        <v>1</v>
      </c>
      <c r="DB88" s="233">
        <f t="shared" si="87"/>
        <v>2029</v>
      </c>
      <c r="DC88" s="234" t="str">
        <f t="shared" si="88"/>
        <v>- - -</v>
      </c>
      <c r="DD88" s="235" t="str">
        <f t="shared" si="89"/>
        <v>. .</v>
      </c>
      <c r="DE88" s="235"/>
      <c r="DF88" s="202">
        <f t="shared" si="90"/>
        <v>720</v>
      </c>
      <c r="DG88" s="202">
        <f t="shared" si="91"/>
        <v>-23622</v>
      </c>
      <c r="DH88" s="202">
        <f t="shared" si="92"/>
        <v>-1969</v>
      </c>
      <c r="DI88" s="202" t="str">
        <f t="shared" si="93"/>
        <v>Nam dưới 35</v>
      </c>
      <c r="DJ88" s="202"/>
      <c r="DK88" s="202"/>
      <c r="DL88" s="218" t="str">
        <f t="shared" si="94"/>
        <v>Đến 30</v>
      </c>
      <c r="DM88" s="227" t="str">
        <f t="shared" si="95"/>
        <v>TD</v>
      </c>
      <c r="DN88" s="199">
        <v>2009</v>
      </c>
      <c r="DO88" s="197"/>
      <c r="DP88" s="236"/>
      <c r="DQ88" s="199"/>
      <c r="DR88" s="229"/>
      <c r="DS88" s="237"/>
      <c r="DT88" s="238"/>
      <c r="DU88" s="239"/>
      <c r="DV88" s="243"/>
      <c r="DW88" s="520" t="s">
        <v>131</v>
      </c>
      <c r="DX88" s="321" t="s">
        <v>110</v>
      </c>
      <c r="DY88" s="246"/>
      <c r="DZ88" s="210" t="s">
        <v>341</v>
      </c>
      <c r="EA88" s="212" t="s">
        <v>359</v>
      </c>
      <c r="EB88" s="212" t="s">
        <v>347</v>
      </c>
      <c r="EC88" s="212" t="s">
        <v>359</v>
      </c>
      <c r="ED88" s="240">
        <v>2009</v>
      </c>
      <c r="EE88" s="212">
        <f t="shared" si="96"/>
        <v>0</v>
      </c>
      <c r="EF88" s="241" t="str">
        <f t="shared" si="97"/>
        <v>- - -</v>
      </c>
      <c r="EG88" s="210" t="s">
        <v>341</v>
      </c>
      <c r="EH88" s="212" t="s">
        <v>359</v>
      </c>
      <c r="EI88" s="212" t="s">
        <v>347</v>
      </c>
      <c r="EJ88" s="212" t="s">
        <v>359</v>
      </c>
      <c r="EK88" s="240">
        <v>2009</v>
      </c>
      <c r="EL88" s="197"/>
      <c r="EM88" s="226" t="str">
        <f t="shared" si="98"/>
        <v>- - -</v>
      </c>
      <c r="EN88" s="242" t="str">
        <f t="shared" si="99"/>
        <v>---</v>
      </c>
      <c r="EO88" s="243"/>
      <c r="EP88" s="244"/>
      <c r="EQ88" s="244"/>
      <c r="ER88" s="244"/>
      <c r="ES88" s="244"/>
      <c r="ET88" s="244"/>
      <c r="EU88" s="244"/>
      <c r="EV88" s="244"/>
      <c r="EW88" s="244"/>
      <c r="EX88" s="244"/>
      <c r="EY88" s="244"/>
      <c r="EZ88" s="244"/>
      <c r="FA88" s="244"/>
      <c r="FB88" s="244"/>
      <c r="FC88" s="244"/>
      <c r="FD88" s="244"/>
      <c r="FE88" s="244"/>
      <c r="FF88" s="244"/>
      <c r="FG88" s="244"/>
      <c r="FH88" s="244"/>
      <c r="FI88" s="244"/>
      <c r="FJ88" s="244"/>
      <c r="FK88" s="244"/>
      <c r="FL88" s="244"/>
      <c r="FM88" s="244"/>
      <c r="FN88" s="244"/>
      <c r="FO88" s="244"/>
      <c r="FP88" s="244"/>
      <c r="FQ88" s="244"/>
      <c r="FR88" s="244"/>
    </row>
    <row r="89" spans="1:174" s="75" customFormat="1" ht="11.25" customHeight="1" x14ac:dyDescent="0.2">
      <c r="A89" s="100">
        <v>227</v>
      </c>
      <c r="B89" s="434">
        <v>201</v>
      </c>
      <c r="C89" s="31"/>
      <c r="D89" s="31" t="str">
        <f t="shared" si="56"/>
        <v>Bà</v>
      </c>
      <c r="E89" s="37" t="s">
        <v>23</v>
      </c>
      <c r="F89" s="31" t="s">
        <v>380</v>
      </c>
      <c r="G89" s="60" t="s">
        <v>371</v>
      </c>
      <c r="H89" s="508" t="s">
        <v>359</v>
      </c>
      <c r="I89" s="60" t="s">
        <v>376</v>
      </c>
      <c r="J89" s="508" t="s">
        <v>359</v>
      </c>
      <c r="K89" s="37">
        <v>1979</v>
      </c>
      <c r="L89" s="157" t="s">
        <v>451</v>
      </c>
      <c r="M89" s="526" t="str">
        <f t="shared" si="57"/>
        <v>VC</v>
      </c>
      <c r="N89" s="163"/>
      <c r="O89" s="509" t="e">
        <f t="shared" si="58"/>
        <v>#N/A</v>
      </c>
      <c r="P89" s="37"/>
      <c r="Q89" s="296" t="e">
        <f>VLOOKUP(P89,'- DLiêu Gốc -'!$C$2:$H$115,2,0)</f>
        <v>#N/A</v>
      </c>
      <c r="R89" s="37" t="s">
        <v>386</v>
      </c>
      <c r="S89" s="37" t="s">
        <v>562</v>
      </c>
      <c r="T89" s="35" t="str">
        <f>VLOOKUP(Y89,'- DLiêu Gốc -'!$C$2:$H$60,5,0)</f>
        <v>A1</v>
      </c>
      <c r="U89" s="36" t="str">
        <f>VLOOKUP(Y89,'- DLiêu Gốc -'!$C$2:$H$60,6,0)</f>
        <v>- - -</v>
      </c>
      <c r="V89" s="537" t="s">
        <v>424</v>
      </c>
      <c r="W89" s="295" t="str">
        <f t="shared" si="59"/>
        <v>Giảng viên (hạng III)</v>
      </c>
      <c r="X89" s="298" t="str">
        <f t="shared" si="60"/>
        <v>V.07.01.03</v>
      </c>
      <c r="Y89" s="317" t="s">
        <v>430</v>
      </c>
      <c r="Z89" s="317" t="str">
        <f>VLOOKUP(Y89,'- DLiêu Gốc -'!$C$1:$H$133,2,0)</f>
        <v>V.07.01.03</v>
      </c>
      <c r="AA89" s="48" t="str">
        <f t="shared" si="61"/>
        <v>Lương</v>
      </c>
      <c r="AB89" s="522">
        <v>6</v>
      </c>
      <c r="AC89" s="407" t="s">
        <v>359</v>
      </c>
      <c r="AD89" s="39">
        <v>9</v>
      </c>
      <c r="AE89" s="40">
        <f t="shared" si="62"/>
        <v>3.99</v>
      </c>
      <c r="AF89" s="329"/>
      <c r="AG89" s="102"/>
      <c r="AH89" s="396"/>
      <c r="AI89" s="405" t="s">
        <v>359</v>
      </c>
      <c r="AJ89" s="102"/>
      <c r="AK89" s="405" t="s">
        <v>359</v>
      </c>
      <c r="AL89" s="406"/>
      <c r="AM89" s="126"/>
      <c r="AN89" s="49"/>
      <c r="AO89" s="249">
        <f t="shared" si="63"/>
        <v>7</v>
      </c>
      <c r="AP89" s="185" t="str">
        <f t="shared" si="64"/>
        <v>/</v>
      </c>
      <c r="AQ89" s="80">
        <f t="shared" si="65"/>
        <v>9</v>
      </c>
      <c r="AR89" s="185">
        <f t="shared" si="66"/>
        <v>4.32</v>
      </c>
      <c r="AS89" s="333"/>
      <c r="AT89" s="44" t="s">
        <v>341</v>
      </c>
      <c r="AU89" s="395" t="s">
        <v>359</v>
      </c>
      <c r="AV89" s="45" t="s">
        <v>341</v>
      </c>
      <c r="AW89" s="395" t="s">
        <v>359</v>
      </c>
      <c r="AX89" s="46">
        <v>2021</v>
      </c>
      <c r="AY89" s="84"/>
      <c r="AZ89" s="191"/>
      <c r="BA89" s="392">
        <v>1.18</v>
      </c>
      <c r="BB89" s="47">
        <f t="shared" si="67"/>
        <v>3</v>
      </c>
      <c r="BC89" s="253">
        <f t="shared" si="68"/>
        <v>-24253</v>
      </c>
      <c r="BD89" s="205">
        <f>VLOOKUP(Y89,'- DLiêu Gốc -'!$C$1:$F$60,3,0)</f>
        <v>2.34</v>
      </c>
      <c r="BE89" s="205">
        <f>VLOOKUP(Y89,'- DLiêu Gốc -'!$C$1:$F$60,4,0)</f>
        <v>0.33</v>
      </c>
      <c r="BF89" s="53" t="str">
        <f t="shared" si="69"/>
        <v>PCTN</v>
      </c>
      <c r="BG89" s="54">
        <v>15</v>
      </c>
      <c r="BH89" s="343" t="s">
        <v>332</v>
      </c>
      <c r="BI89" s="56" t="s">
        <v>341</v>
      </c>
      <c r="BJ89" s="400" t="s">
        <v>359</v>
      </c>
      <c r="BK89" s="341" t="s">
        <v>342</v>
      </c>
      <c r="BL89" s="400" t="s">
        <v>359</v>
      </c>
      <c r="BM89" s="46">
        <v>2019</v>
      </c>
      <c r="BN89" s="126"/>
      <c r="BO89" s="58"/>
      <c r="BP89" s="55">
        <f>IF(BG89&gt;3,BG89+1,0)</f>
        <v>16</v>
      </c>
      <c r="BQ89" s="346" t="s">
        <v>332</v>
      </c>
      <c r="BR89" s="56" t="s">
        <v>341</v>
      </c>
      <c r="BS89" s="395" t="s">
        <v>359</v>
      </c>
      <c r="BT89" s="339" t="s">
        <v>342</v>
      </c>
      <c r="BU89" s="395" t="s">
        <v>359</v>
      </c>
      <c r="BV89" s="46">
        <v>2020</v>
      </c>
      <c r="BW89" s="57"/>
      <c r="BX89" s="125">
        <v>2.1800000000000002</v>
      </c>
      <c r="BY89" s="254">
        <f t="shared" si="70"/>
        <v>-24242</v>
      </c>
      <c r="BZ89" s="53" t="str">
        <f t="shared" si="71"/>
        <v>- - -</v>
      </c>
      <c r="CA89" s="316" t="str">
        <f t="shared" si="72"/>
        <v>Chánh Văn phòng Học viện, Trưởng Ban Tổ chức - Cán bộ, Trưởng Khoa Nhà nước - Pháp luật và Lý luận cơ sở</v>
      </c>
      <c r="CB89" s="59" t="str">
        <f t="shared" si="73"/>
        <v>A</v>
      </c>
      <c r="CC89" s="38" t="str">
        <f t="shared" si="74"/>
        <v>=&gt; s</v>
      </c>
      <c r="CD89" s="48">
        <f t="shared" si="75"/>
        <v>24277</v>
      </c>
      <c r="CE89" s="31" t="str">
        <f t="shared" si="76"/>
        <v>S</v>
      </c>
      <c r="CF89" s="31">
        <v>2012</v>
      </c>
      <c r="CG89" s="303" t="s">
        <v>426</v>
      </c>
      <c r="CH89" s="31"/>
      <c r="CI89" s="105"/>
      <c r="CJ89" s="31" t="str">
        <f t="shared" si="77"/>
        <v>Cùg Ng</v>
      </c>
      <c r="CK89" s="51" t="str">
        <f t="shared" si="78"/>
        <v>- - -</v>
      </c>
      <c r="CL89" s="61"/>
      <c r="CM89" s="62"/>
      <c r="CN89" s="61"/>
      <c r="CO89" s="76"/>
      <c r="CP89" s="51" t="str">
        <f t="shared" si="79"/>
        <v>- - -</v>
      </c>
      <c r="CQ89" s="61"/>
      <c r="CR89" s="146"/>
      <c r="CS89" s="61"/>
      <c r="CT89" s="76"/>
      <c r="CU89" s="65" t="str">
        <f t="shared" si="80"/>
        <v>---</v>
      </c>
      <c r="CV89" s="66" t="str">
        <f t="shared" si="81"/>
        <v>/-/ /-/</v>
      </c>
      <c r="CW89" s="63">
        <f t="shared" si="82"/>
        <v>5</v>
      </c>
      <c r="CX89" s="64">
        <f t="shared" si="83"/>
        <v>2034</v>
      </c>
      <c r="CY89" s="63">
        <f t="shared" si="84"/>
        <v>2</v>
      </c>
      <c r="CZ89" s="64">
        <f t="shared" si="85"/>
        <v>2034</v>
      </c>
      <c r="DA89" s="63">
        <f t="shared" si="86"/>
        <v>11</v>
      </c>
      <c r="DB89" s="64">
        <f t="shared" si="87"/>
        <v>2033</v>
      </c>
      <c r="DC89" s="67" t="str">
        <f t="shared" si="88"/>
        <v>- - -</v>
      </c>
      <c r="DD89" s="68" t="str">
        <f t="shared" si="89"/>
        <v>. .</v>
      </c>
      <c r="DE89" s="68"/>
      <c r="DF89" s="48">
        <f t="shared" si="90"/>
        <v>660</v>
      </c>
      <c r="DG89" s="48">
        <f t="shared" si="91"/>
        <v>-23740</v>
      </c>
      <c r="DH89" s="48">
        <f t="shared" si="92"/>
        <v>-1979</v>
      </c>
      <c r="DI89" s="48" t="str">
        <f t="shared" si="93"/>
        <v>Nữ dưới 30</v>
      </c>
      <c r="DJ89" s="48"/>
      <c r="DK89" s="48"/>
      <c r="DL89" s="53" t="str">
        <f t="shared" si="94"/>
        <v>Đến 30</v>
      </c>
      <c r="DM89" s="61" t="str">
        <f t="shared" si="95"/>
        <v>TD</v>
      </c>
      <c r="DN89" s="32">
        <v>2012</v>
      </c>
      <c r="DO89" s="31"/>
      <c r="DP89" s="69"/>
      <c r="DQ89" s="32"/>
      <c r="DR89" s="76"/>
      <c r="DS89" s="77"/>
      <c r="DT89" s="78"/>
      <c r="DU89" s="71"/>
      <c r="DV89" s="84"/>
      <c r="DW89" s="517" t="s">
        <v>386</v>
      </c>
      <c r="DX89" s="315" t="s">
        <v>127</v>
      </c>
      <c r="DY89" s="33" t="s">
        <v>386</v>
      </c>
      <c r="DZ89" s="44" t="s">
        <v>341</v>
      </c>
      <c r="EA89" s="45" t="s">
        <v>359</v>
      </c>
      <c r="EB89" s="45" t="s">
        <v>341</v>
      </c>
      <c r="EC89" s="45" t="s">
        <v>359</v>
      </c>
      <c r="ED89" s="72">
        <v>2012</v>
      </c>
      <c r="EE89" s="45">
        <f t="shared" si="96"/>
        <v>0</v>
      </c>
      <c r="EF89" s="73" t="str">
        <f t="shared" si="97"/>
        <v>- - -</v>
      </c>
      <c r="EG89" s="44" t="s">
        <v>341</v>
      </c>
      <c r="EH89" s="45" t="s">
        <v>359</v>
      </c>
      <c r="EI89" s="45" t="s">
        <v>341</v>
      </c>
      <c r="EJ89" s="45" t="s">
        <v>359</v>
      </c>
      <c r="EK89" s="72">
        <v>2012</v>
      </c>
      <c r="EL89" s="31"/>
      <c r="EM89" s="51" t="str">
        <f t="shared" si="98"/>
        <v>- - -</v>
      </c>
      <c r="EN89" s="74" t="str">
        <f t="shared" si="99"/>
        <v>---</v>
      </c>
      <c r="EO89" s="84"/>
      <c r="FN89" s="171"/>
      <c r="FO89" s="171"/>
      <c r="FP89" s="171"/>
      <c r="FQ89" s="171"/>
      <c r="FR89" s="171"/>
    </row>
    <row r="90" spans="1:174" s="75" customFormat="1" ht="11.25" customHeight="1" x14ac:dyDescent="0.25">
      <c r="A90" s="100">
        <v>241</v>
      </c>
      <c r="B90" s="434">
        <v>257</v>
      </c>
      <c r="C90" s="31"/>
      <c r="D90" s="31" t="str">
        <f t="shared" si="56"/>
        <v>Ông</v>
      </c>
      <c r="E90" s="37" t="s">
        <v>142</v>
      </c>
      <c r="F90" s="31" t="s">
        <v>378</v>
      </c>
      <c r="G90" s="60" t="s">
        <v>329</v>
      </c>
      <c r="H90" s="508" t="s">
        <v>359</v>
      </c>
      <c r="I90" s="60" t="s">
        <v>347</v>
      </c>
      <c r="J90" s="508" t="s">
        <v>359</v>
      </c>
      <c r="K90" s="37">
        <v>1961</v>
      </c>
      <c r="L90" s="37" t="s">
        <v>451</v>
      </c>
      <c r="M90" s="37" t="str">
        <f t="shared" si="57"/>
        <v>VC</v>
      </c>
      <c r="N90" s="37"/>
      <c r="O90" s="37" t="e">
        <f t="shared" si="58"/>
        <v>#N/A</v>
      </c>
      <c r="P90" s="37"/>
      <c r="Q90" s="37" t="e">
        <f>VLOOKUP(P90,'- DLiêu Gốc -'!$C$2:$H$115,2,0)</f>
        <v>#N/A</v>
      </c>
      <c r="R90" s="37"/>
      <c r="S90" s="37" t="s">
        <v>565</v>
      </c>
      <c r="T90" s="35" t="str">
        <f>VLOOKUP(Y90,'- DLiêu Gốc -'!$C$2:$H$60,5,0)</f>
        <v>A2</v>
      </c>
      <c r="U90" s="36" t="str">
        <f>VLOOKUP(Y90,'- DLiêu Gốc -'!$C$2:$H$60,6,0)</f>
        <v>A2.1</v>
      </c>
      <c r="V90" s="537" t="s">
        <v>424</v>
      </c>
      <c r="W90" s="295" t="str">
        <f t="shared" si="59"/>
        <v>Giảng viên chính (hạng II)</v>
      </c>
      <c r="X90" s="298" t="str">
        <f t="shared" si="60"/>
        <v>V.07.01.02</v>
      </c>
      <c r="Y90" s="317" t="s">
        <v>431</v>
      </c>
      <c r="Z90" s="317" t="str">
        <f>VLOOKUP(Y90,'- DLiêu Gốc -'!$C$1:$H$133,2,0)</f>
        <v>V.07.01.02</v>
      </c>
      <c r="AA90" s="48" t="str">
        <f t="shared" si="61"/>
        <v>Lương</v>
      </c>
      <c r="AB90" s="522">
        <v>6</v>
      </c>
      <c r="AC90" s="407" t="s">
        <v>359</v>
      </c>
      <c r="AD90" s="39">
        <v>8</v>
      </c>
      <c r="AE90" s="40">
        <f t="shared" si="62"/>
        <v>6.1000000000000005</v>
      </c>
      <c r="AF90" s="329"/>
      <c r="AG90" s="102"/>
      <c r="AH90" s="396"/>
      <c r="AI90" s="405" t="s">
        <v>359</v>
      </c>
      <c r="AJ90" s="102"/>
      <c r="AK90" s="405" t="s">
        <v>359</v>
      </c>
      <c r="AL90" s="406"/>
      <c r="AM90" s="126"/>
      <c r="AN90" s="49"/>
      <c r="AO90" s="249">
        <f t="shared" si="63"/>
        <v>7</v>
      </c>
      <c r="AP90" s="185" t="str">
        <f t="shared" si="64"/>
        <v>/</v>
      </c>
      <c r="AQ90" s="80">
        <f t="shared" si="65"/>
        <v>8</v>
      </c>
      <c r="AR90" s="185">
        <f t="shared" si="66"/>
        <v>6.44</v>
      </c>
      <c r="AS90" s="333"/>
      <c r="AT90" s="44" t="s">
        <v>341</v>
      </c>
      <c r="AU90" s="395" t="s">
        <v>359</v>
      </c>
      <c r="AV90" s="45" t="s">
        <v>341</v>
      </c>
      <c r="AW90" s="412" t="s">
        <v>359</v>
      </c>
      <c r="AX90" s="46">
        <v>2021</v>
      </c>
      <c r="AY90" s="84"/>
      <c r="AZ90" s="1418"/>
      <c r="BA90" s="392">
        <v>1.18</v>
      </c>
      <c r="BB90" s="47">
        <f t="shared" si="67"/>
        <v>3</v>
      </c>
      <c r="BC90" s="253">
        <f t="shared" si="68"/>
        <v>-24253</v>
      </c>
      <c r="BD90" s="205">
        <f>VLOOKUP(Y90,'- DLiêu Gốc -'!$C$1:$F$60,3,0)</f>
        <v>4.4000000000000004</v>
      </c>
      <c r="BE90" s="205">
        <f>VLOOKUP(Y90,'- DLiêu Gốc -'!$C$1:$F$60,4,0)</f>
        <v>0.34</v>
      </c>
      <c r="BF90" s="53" t="str">
        <f t="shared" si="69"/>
        <v>PCTN</v>
      </c>
      <c r="BG90" s="54">
        <v>13</v>
      </c>
      <c r="BH90" s="343" t="s">
        <v>332</v>
      </c>
      <c r="BI90" s="56" t="s">
        <v>341</v>
      </c>
      <c r="BJ90" s="400" t="s">
        <v>359</v>
      </c>
      <c r="BK90" s="341" t="s">
        <v>344</v>
      </c>
      <c r="BL90" s="400" t="s">
        <v>359</v>
      </c>
      <c r="BM90" s="178">
        <v>2018</v>
      </c>
      <c r="BN90" s="126"/>
      <c r="BO90" s="58"/>
      <c r="BP90" s="55">
        <f>IF(BG90&gt;3,BG90+1,0)</f>
        <v>14</v>
      </c>
      <c r="BQ90" s="346" t="s">
        <v>332</v>
      </c>
      <c r="BR90" s="56" t="s">
        <v>341</v>
      </c>
      <c r="BS90" s="395" t="s">
        <v>359</v>
      </c>
      <c r="BT90" s="339" t="s">
        <v>344</v>
      </c>
      <c r="BU90" s="395" t="s">
        <v>359</v>
      </c>
      <c r="BV90" s="555">
        <v>2019</v>
      </c>
      <c r="BW90" s="57" t="s">
        <v>644</v>
      </c>
      <c r="BX90" s="125"/>
      <c r="BY90" s="254">
        <f t="shared" si="70"/>
        <v>-24234</v>
      </c>
      <c r="BZ90" s="53" t="str">
        <f t="shared" si="71"/>
        <v>- - -</v>
      </c>
      <c r="CA90" s="316" t="str">
        <f t="shared" si="72"/>
        <v>Chánh Văn phòng Học viện, Trưởng Ban Tổ chức - Cán bộ, Trưởng Khoa Quản lý nhà nước về Kinh tế và Tài chính công</v>
      </c>
      <c r="CB90" s="59" t="str">
        <f t="shared" si="73"/>
        <v>A</v>
      </c>
      <c r="CC90" s="38" t="str">
        <f t="shared" si="74"/>
        <v>=&gt; s</v>
      </c>
      <c r="CD90" s="48">
        <f t="shared" si="75"/>
        <v>24277</v>
      </c>
      <c r="CE90" s="31" t="str">
        <f t="shared" si="76"/>
        <v>---</v>
      </c>
      <c r="CF90" s="31"/>
      <c r="CG90" s="303"/>
      <c r="CH90" s="97"/>
      <c r="CI90" s="93"/>
      <c r="CJ90" s="31" t="str">
        <f t="shared" si="77"/>
        <v>- - -</v>
      </c>
      <c r="CK90" s="51" t="str">
        <f t="shared" si="78"/>
        <v>- - -</v>
      </c>
      <c r="CL90" s="61"/>
      <c r="CM90" s="62"/>
      <c r="CN90" s="61"/>
      <c r="CO90" s="76"/>
      <c r="CP90" s="51" t="str">
        <f t="shared" si="79"/>
        <v>- - -</v>
      </c>
      <c r="CQ90" s="61"/>
      <c r="CR90" s="146"/>
      <c r="CS90" s="61"/>
      <c r="CT90" s="76"/>
      <c r="CU90" s="65" t="str">
        <f t="shared" si="80"/>
        <v>---</v>
      </c>
      <c r="CV90" s="66" t="str">
        <f t="shared" si="81"/>
        <v>/-/ /-/</v>
      </c>
      <c r="CW90" s="63">
        <f t="shared" si="82"/>
        <v>8</v>
      </c>
      <c r="CX90" s="64">
        <f t="shared" si="83"/>
        <v>2021</v>
      </c>
      <c r="CY90" s="63">
        <f t="shared" si="84"/>
        <v>5</v>
      </c>
      <c r="CZ90" s="64">
        <f t="shared" si="85"/>
        <v>2021</v>
      </c>
      <c r="DA90" s="63">
        <f t="shared" si="86"/>
        <v>2</v>
      </c>
      <c r="DB90" s="64">
        <f t="shared" si="87"/>
        <v>2021</v>
      </c>
      <c r="DC90" s="67" t="str">
        <f t="shared" si="88"/>
        <v>- - -</v>
      </c>
      <c r="DD90" s="68" t="str">
        <f t="shared" si="89"/>
        <v>. .</v>
      </c>
      <c r="DE90" s="68"/>
      <c r="DF90" s="48">
        <f t="shared" si="90"/>
        <v>720</v>
      </c>
      <c r="DG90" s="48">
        <f t="shared" si="91"/>
        <v>-23527</v>
      </c>
      <c r="DH90" s="48">
        <f t="shared" si="92"/>
        <v>-1961</v>
      </c>
      <c r="DI90" s="48" t="str">
        <f t="shared" si="93"/>
        <v>Nam dưới 35</v>
      </c>
      <c r="DJ90" s="48"/>
      <c r="DK90" s="48"/>
      <c r="DL90" s="53" t="str">
        <f t="shared" si="94"/>
        <v>Đến 30</v>
      </c>
      <c r="DM90" s="108" t="str">
        <f t="shared" si="95"/>
        <v>--</v>
      </c>
      <c r="DN90" s="96"/>
      <c r="DO90" s="97"/>
      <c r="DP90" s="1439"/>
      <c r="DQ90" s="98"/>
      <c r="DR90" s="96"/>
      <c r="DS90" s="1440"/>
      <c r="DT90" s="109"/>
      <c r="DU90" s="71"/>
      <c r="DV90" s="84"/>
      <c r="DW90" s="517"/>
      <c r="DX90" s="315" t="s">
        <v>112</v>
      </c>
      <c r="DY90" s="33"/>
      <c r="DZ90" s="44" t="s">
        <v>341</v>
      </c>
      <c r="EA90" s="45" t="s">
        <v>359</v>
      </c>
      <c r="EB90" s="299" t="s">
        <v>341</v>
      </c>
      <c r="EC90" s="45" t="s">
        <v>359</v>
      </c>
      <c r="ED90" s="72">
        <v>2012</v>
      </c>
      <c r="EE90" s="45">
        <f t="shared" si="96"/>
        <v>0</v>
      </c>
      <c r="EF90" s="73" t="str">
        <f t="shared" si="97"/>
        <v>- - -</v>
      </c>
      <c r="EG90" s="44" t="s">
        <v>341</v>
      </c>
      <c r="EH90" s="45" t="s">
        <v>359</v>
      </c>
      <c r="EI90" s="1406" t="s">
        <v>341</v>
      </c>
      <c r="EJ90" s="45" t="s">
        <v>359</v>
      </c>
      <c r="EK90" s="72">
        <v>2012</v>
      </c>
      <c r="EL90" s="81">
        <v>3.66</v>
      </c>
      <c r="EM90" s="51" t="str">
        <f t="shared" si="98"/>
        <v>- - -</v>
      </c>
      <c r="EN90" s="74" t="str">
        <f t="shared" si="99"/>
        <v>---</v>
      </c>
      <c r="EO90" s="120"/>
      <c r="FM90" s="89"/>
      <c r="FN90" s="177"/>
      <c r="FO90" s="177"/>
      <c r="FP90" s="177"/>
      <c r="FQ90" s="177"/>
      <c r="FR90" s="177"/>
    </row>
    <row r="91" spans="1:174" s="75" customFormat="1" ht="11.25" customHeight="1" x14ac:dyDescent="0.2">
      <c r="A91" s="100">
        <v>297</v>
      </c>
      <c r="B91" s="434">
        <v>293</v>
      </c>
      <c r="C91" s="523"/>
      <c r="D91" s="523" t="str">
        <f t="shared" si="56"/>
        <v>Ông</v>
      </c>
      <c r="E91" s="524" t="s">
        <v>466</v>
      </c>
      <c r="F91" s="523" t="s">
        <v>378</v>
      </c>
      <c r="G91" s="510" t="s">
        <v>370</v>
      </c>
      <c r="H91" s="179" t="s">
        <v>359</v>
      </c>
      <c r="I91" s="510" t="s">
        <v>376</v>
      </c>
      <c r="J91" s="179" t="s">
        <v>359</v>
      </c>
      <c r="K91" s="524">
        <v>1970</v>
      </c>
      <c r="L91" s="37" t="s">
        <v>451</v>
      </c>
      <c r="M91" s="37" t="str">
        <f t="shared" si="57"/>
        <v>VC</v>
      </c>
      <c r="N91" s="37"/>
      <c r="O91" s="37" t="e">
        <f t="shared" si="58"/>
        <v>#N/A</v>
      </c>
      <c r="P91" s="37"/>
      <c r="Q91" s="37" t="e">
        <f>VLOOKUP(P91,'- DLiêu Gốc -'!$C$2:$H$115,2,0)</f>
        <v>#N/A</v>
      </c>
      <c r="R91" s="37" t="s">
        <v>385</v>
      </c>
      <c r="S91" s="37" t="s">
        <v>111</v>
      </c>
      <c r="T91" s="150" t="str">
        <f>VLOOKUP(Y91,'- DLiêu Gốc -'!$C$2:$H$60,5,0)</f>
        <v>A2</v>
      </c>
      <c r="U91" s="151" t="str">
        <f>VLOOKUP(Y91,'- DLiêu Gốc -'!$C$2:$H$60,6,0)</f>
        <v>A2.1</v>
      </c>
      <c r="V91" s="537" t="s">
        <v>424</v>
      </c>
      <c r="W91" s="295" t="str">
        <f t="shared" si="59"/>
        <v>Giảng viên chính (hạng II)</v>
      </c>
      <c r="X91" s="537" t="str">
        <f t="shared" si="60"/>
        <v>V.07.01.02</v>
      </c>
      <c r="Y91" s="317" t="s">
        <v>431</v>
      </c>
      <c r="Z91" s="319" t="str">
        <f>VLOOKUP(Y91,'- DLiêu Gốc -'!$C$1:$H$133,2,0)</f>
        <v>V.07.01.02</v>
      </c>
      <c r="AA91" s="526" t="str">
        <f t="shared" si="61"/>
        <v>Lương</v>
      </c>
      <c r="AB91" s="1444">
        <v>4</v>
      </c>
      <c r="AC91" s="409" t="s">
        <v>359</v>
      </c>
      <c r="AD91" s="153">
        <v>8</v>
      </c>
      <c r="AE91" s="527">
        <f t="shared" si="62"/>
        <v>5.42</v>
      </c>
      <c r="AF91" s="330"/>
      <c r="AG91" s="155"/>
      <c r="AH91" s="396"/>
      <c r="AI91" s="405" t="s">
        <v>359</v>
      </c>
      <c r="AJ91" s="102"/>
      <c r="AK91" s="405" t="s">
        <v>359</v>
      </c>
      <c r="AL91" s="406"/>
      <c r="AM91" s="531"/>
      <c r="AN91" s="159"/>
      <c r="AO91" s="1316">
        <f t="shared" si="63"/>
        <v>5</v>
      </c>
      <c r="AP91" s="1317" t="str">
        <f t="shared" si="64"/>
        <v>/</v>
      </c>
      <c r="AQ91" s="156">
        <f t="shared" si="65"/>
        <v>8</v>
      </c>
      <c r="AR91" s="1317">
        <f t="shared" si="66"/>
        <v>5.76</v>
      </c>
      <c r="AS91" s="335"/>
      <c r="AT91" s="528" t="s">
        <v>341</v>
      </c>
      <c r="AU91" s="562" t="s">
        <v>359</v>
      </c>
      <c r="AV91" s="529" t="s">
        <v>341</v>
      </c>
      <c r="AW91" s="562" t="s">
        <v>359</v>
      </c>
      <c r="AX91" s="46">
        <v>2021</v>
      </c>
      <c r="AY91" s="84"/>
      <c r="AZ91" s="385" t="s">
        <v>633</v>
      </c>
      <c r="BA91" s="392">
        <v>1.18</v>
      </c>
      <c r="BB91" s="530">
        <f t="shared" si="67"/>
        <v>3</v>
      </c>
      <c r="BC91" s="253">
        <f t="shared" si="68"/>
        <v>-24253</v>
      </c>
      <c r="BD91" s="205">
        <f>VLOOKUP(Y91,'- DLiêu Gốc -'!$C$1:$F$60,3,0)</f>
        <v>4.4000000000000004</v>
      </c>
      <c r="BE91" s="205">
        <f>VLOOKUP(Y91,'- DLiêu Gốc -'!$C$1:$F$60,4,0)</f>
        <v>0.34</v>
      </c>
      <c r="BF91" s="532" t="str">
        <f t="shared" si="69"/>
        <v>o-o-o</v>
      </c>
      <c r="BG91" s="533"/>
      <c r="BH91" s="561"/>
      <c r="BI91" s="342"/>
      <c r="BJ91" s="400"/>
      <c r="BK91" s="336"/>
      <c r="BL91" s="400"/>
      <c r="BM91" s="101"/>
      <c r="BN91" s="531"/>
      <c r="BO91" s="162"/>
      <c r="BP91" s="534"/>
      <c r="BQ91" s="347"/>
      <c r="BR91" s="56"/>
      <c r="BS91" s="562"/>
      <c r="BT91" s="338"/>
      <c r="BU91" s="562"/>
      <c r="BV91" s="555"/>
      <c r="BW91" s="161" t="s">
        <v>634</v>
      </c>
      <c r="BX91" s="158"/>
      <c r="BY91" s="254" t="str">
        <f t="shared" si="70"/>
        <v>- - -</v>
      </c>
      <c r="BZ91" s="532" t="str">
        <f t="shared" si="71"/>
        <v>- - -</v>
      </c>
      <c r="CA91" s="524" t="str">
        <f t="shared" si="72"/>
        <v>Chánh Văn phòng Học viện, Trưởng Ban Tổ chức - Cán bộ, Trưởng Khoa Quản lý nhà nước về Xã hội</v>
      </c>
      <c r="CB91" s="535" t="str">
        <f t="shared" si="73"/>
        <v>A</v>
      </c>
      <c r="CC91" s="536" t="str">
        <f t="shared" si="74"/>
        <v>=&gt; s</v>
      </c>
      <c r="CD91" s="526">
        <f t="shared" si="75"/>
        <v>24277</v>
      </c>
      <c r="CE91" s="523" t="str">
        <f t="shared" si="76"/>
        <v>S</v>
      </c>
      <c r="CF91" s="523">
        <v>2015</v>
      </c>
      <c r="CG91" s="307"/>
      <c r="CH91" s="523"/>
      <c r="CI91" s="537"/>
      <c r="CJ91" s="523" t="str">
        <f t="shared" si="77"/>
        <v>- - -</v>
      </c>
      <c r="CK91" s="538" t="str">
        <f t="shared" si="78"/>
        <v>- - -</v>
      </c>
      <c r="CL91" s="539"/>
      <c r="CM91" s="540"/>
      <c r="CN91" s="539"/>
      <c r="CO91" s="541"/>
      <c r="CP91" s="538" t="str">
        <f t="shared" si="79"/>
        <v>- - -</v>
      </c>
      <c r="CQ91" s="539"/>
      <c r="CR91" s="188"/>
      <c r="CS91" s="539"/>
      <c r="CT91" s="541"/>
      <c r="CU91" s="542" t="str">
        <f t="shared" si="80"/>
        <v>---</v>
      </c>
      <c r="CV91" s="164" t="str">
        <f t="shared" si="81"/>
        <v>/-/ /-/</v>
      </c>
      <c r="CW91" s="543">
        <f t="shared" si="82"/>
        <v>5</v>
      </c>
      <c r="CX91" s="544">
        <f t="shared" si="83"/>
        <v>2030</v>
      </c>
      <c r="CY91" s="543">
        <f t="shared" si="84"/>
        <v>2</v>
      </c>
      <c r="CZ91" s="544">
        <f t="shared" si="85"/>
        <v>2030</v>
      </c>
      <c r="DA91" s="543">
        <f t="shared" si="86"/>
        <v>11</v>
      </c>
      <c r="DB91" s="544">
        <f t="shared" si="87"/>
        <v>2029</v>
      </c>
      <c r="DC91" s="545" t="str">
        <f t="shared" si="88"/>
        <v>- - -</v>
      </c>
      <c r="DD91" s="546" t="str">
        <f t="shared" si="89"/>
        <v>. .</v>
      </c>
      <c r="DE91" s="546"/>
      <c r="DF91" s="526">
        <f t="shared" si="90"/>
        <v>720</v>
      </c>
      <c r="DG91" s="526">
        <f t="shared" si="91"/>
        <v>-23632</v>
      </c>
      <c r="DH91" s="526">
        <f t="shared" si="92"/>
        <v>-1970</v>
      </c>
      <c r="DI91" s="526" t="str">
        <f t="shared" si="93"/>
        <v>Nam dưới 35</v>
      </c>
      <c r="DJ91" s="526"/>
      <c r="DK91" s="526"/>
      <c r="DL91" s="532" t="str">
        <f t="shared" si="94"/>
        <v>Đến 30</v>
      </c>
      <c r="DM91" s="539" t="str">
        <f t="shared" si="95"/>
        <v>--</v>
      </c>
      <c r="DN91" s="525"/>
      <c r="DO91" s="523"/>
      <c r="DP91" s="556"/>
      <c r="DQ91" s="525"/>
      <c r="DR91" s="541"/>
      <c r="DS91" s="547"/>
      <c r="DT91" s="548"/>
      <c r="DU91" s="549"/>
      <c r="DV91" s="550"/>
      <c r="DW91" s="519" t="s">
        <v>385</v>
      </c>
      <c r="DX91" s="315" t="s">
        <v>111</v>
      </c>
      <c r="DY91" s="165" t="s">
        <v>385</v>
      </c>
      <c r="DZ91" s="528" t="s">
        <v>341</v>
      </c>
      <c r="EA91" s="529" t="s">
        <v>359</v>
      </c>
      <c r="EB91" s="529" t="s">
        <v>348</v>
      </c>
      <c r="EC91" s="529" t="s">
        <v>359</v>
      </c>
      <c r="ED91" s="551" t="s">
        <v>362</v>
      </c>
      <c r="EE91" s="529">
        <f t="shared" si="96"/>
        <v>0</v>
      </c>
      <c r="EF91" s="552" t="str">
        <f t="shared" si="97"/>
        <v>- - -</v>
      </c>
      <c r="EG91" s="528" t="s">
        <v>341</v>
      </c>
      <c r="EH91" s="529" t="s">
        <v>359</v>
      </c>
      <c r="EI91" s="529" t="s">
        <v>348</v>
      </c>
      <c r="EJ91" s="529" t="s">
        <v>359</v>
      </c>
      <c r="EK91" s="551" t="s">
        <v>362</v>
      </c>
      <c r="EL91" s="523"/>
      <c r="EM91" s="538" t="str">
        <f t="shared" si="98"/>
        <v>- - -</v>
      </c>
      <c r="EN91" s="553" t="str">
        <f t="shared" si="99"/>
        <v>---</v>
      </c>
      <c r="EO91" s="550"/>
      <c r="EP91" s="244"/>
      <c r="EQ91" s="244"/>
      <c r="ER91" s="244"/>
      <c r="ES91" s="244"/>
      <c r="ET91" s="244"/>
      <c r="EU91" s="244"/>
      <c r="EV91" s="244"/>
      <c r="EW91" s="244"/>
      <c r="EX91" s="244"/>
      <c r="EY91" s="244"/>
      <c r="EZ91" s="244"/>
      <c r="FA91" s="244"/>
      <c r="FB91" s="244"/>
      <c r="FC91" s="244"/>
      <c r="FD91" s="244"/>
      <c r="FE91" s="244"/>
      <c r="FF91" s="244"/>
      <c r="FG91" s="244"/>
      <c r="FH91" s="244"/>
      <c r="FI91" s="244"/>
      <c r="FJ91" s="244"/>
      <c r="FK91" s="244"/>
      <c r="FL91" s="244"/>
      <c r="FM91" s="244"/>
      <c r="FN91" s="244"/>
      <c r="FO91" s="244"/>
      <c r="FP91" s="244"/>
      <c r="FQ91" s="244"/>
      <c r="FR91" s="244"/>
    </row>
    <row r="92" spans="1:174" s="247" customFormat="1" ht="11.25" customHeight="1" x14ac:dyDescent="0.25">
      <c r="A92" s="100">
        <v>322</v>
      </c>
      <c r="B92" s="296">
        <v>254</v>
      </c>
      <c r="C92" s="31"/>
      <c r="D92" s="31" t="str">
        <f t="shared" si="56"/>
        <v>Ông</v>
      </c>
      <c r="E92" s="37" t="s">
        <v>281</v>
      </c>
      <c r="F92" s="31" t="s">
        <v>378</v>
      </c>
      <c r="G92" s="60" t="s">
        <v>342</v>
      </c>
      <c r="H92" s="508" t="s">
        <v>359</v>
      </c>
      <c r="I92" s="60">
        <v>5</v>
      </c>
      <c r="J92" s="508" t="s">
        <v>359</v>
      </c>
      <c r="K92" s="37">
        <v>1971</v>
      </c>
      <c r="L92" s="157" t="s">
        <v>451</v>
      </c>
      <c r="M92" s="526" t="str">
        <f t="shared" si="57"/>
        <v>VC</v>
      </c>
      <c r="N92" s="163"/>
      <c r="O92" s="509" t="str">
        <f t="shared" si="58"/>
        <v>CVụ</v>
      </c>
      <c r="P92" s="37" t="s">
        <v>580</v>
      </c>
      <c r="Q92" s="296">
        <f>VLOOKUP(P92,'- DLiêu Gốc -'!$C$2:$H$115,2,0)</f>
        <v>0.4</v>
      </c>
      <c r="R92" s="37" t="s">
        <v>593</v>
      </c>
      <c r="S92" s="190" t="s">
        <v>567</v>
      </c>
      <c r="T92" s="35" t="str">
        <f>VLOOKUP(Y92,'- DLiêu Gốc -'!$C$2:$H$60,5,0)</f>
        <v>A1</v>
      </c>
      <c r="U92" s="36" t="str">
        <f>VLOOKUP(Y92,'- DLiêu Gốc -'!$C$2:$H$60,6,0)</f>
        <v>- - -</v>
      </c>
      <c r="V92" s="537" t="s">
        <v>425</v>
      </c>
      <c r="W92" s="295" t="str">
        <f t="shared" si="59"/>
        <v>Chuyên viên</v>
      </c>
      <c r="X92" s="298" t="str">
        <f t="shared" si="60"/>
        <v>01.003</v>
      </c>
      <c r="Y92" s="317" t="s">
        <v>339</v>
      </c>
      <c r="Z92" s="317" t="str">
        <f>VLOOKUP(Y92,'- DLiêu Gốc -'!$C$1:$H$133,2,0)</f>
        <v>01.003</v>
      </c>
      <c r="AA92" s="48" t="str">
        <f t="shared" si="61"/>
        <v>Lương</v>
      </c>
      <c r="AB92" s="117">
        <v>9</v>
      </c>
      <c r="AC92" s="407" t="s">
        <v>359</v>
      </c>
      <c r="AD92" s="39">
        <v>9</v>
      </c>
      <c r="AE92" s="40">
        <f t="shared" si="62"/>
        <v>4.9800000000000004</v>
      </c>
      <c r="AF92" s="41">
        <v>0</v>
      </c>
      <c r="AG92" s="764" t="str">
        <f>IF(AD92=AB92,"%",IF(AD92&gt;AB92,"/"))</f>
        <v>%</v>
      </c>
      <c r="AH92" s="396"/>
      <c r="AI92" s="405" t="s">
        <v>359</v>
      </c>
      <c r="AJ92" s="102"/>
      <c r="AK92" s="405" t="s">
        <v>359</v>
      </c>
      <c r="AL92" s="406"/>
      <c r="AM92" s="126"/>
      <c r="AN92" s="49"/>
      <c r="AO92" s="249"/>
      <c r="AP92" s="185"/>
      <c r="AQ92" s="80"/>
      <c r="AR92" s="425">
        <f>IF(AND(AD92=AB92,AF92=0),5,IF(AND(AD92=AB92,AF92&gt;4),AF92+1,IF(AD92&gt;AB92,AD92)))</f>
        <v>5</v>
      </c>
      <c r="AS92" s="420" t="str">
        <f>IF(AD92=AB92,"%",IF(AD92&gt;AB92,AE92+BE92))</f>
        <v>%</v>
      </c>
      <c r="AT92" s="44" t="s">
        <v>341</v>
      </c>
      <c r="AU92" s="395" t="s">
        <v>359</v>
      </c>
      <c r="AV92" s="45" t="s">
        <v>341</v>
      </c>
      <c r="AW92" s="395" t="s">
        <v>359</v>
      </c>
      <c r="AX92" s="46">
        <v>2021</v>
      </c>
      <c r="AY92" s="84"/>
      <c r="AZ92" s="567"/>
      <c r="BA92" s="392">
        <v>1.18</v>
      </c>
      <c r="BB92" s="47">
        <f t="shared" si="67"/>
        <v>1</v>
      </c>
      <c r="BC92" s="253">
        <f t="shared" si="68"/>
        <v>-24253</v>
      </c>
      <c r="BD92" s="205">
        <f>VLOOKUP(Y92,'- DLiêu Gốc -'!$C$1:$F$60,3,0)</f>
        <v>2.34</v>
      </c>
      <c r="BE92" s="205">
        <f>VLOOKUP(Y92,'- DLiêu Gốc -'!$C$1:$F$60,4,0)</f>
        <v>0.33</v>
      </c>
      <c r="BF92" s="53" t="str">
        <f t="shared" si="69"/>
        <v>o-o-o</v>
      </c>
      <c r="BG92" s="55"/>
      <c r="BH92" s="343"/>
      <c r="BI92" s="342"/>
      <c r="BJ92" s="400"/>
      <c r="BK92" s="336"/>
      <c r="BL92" s="400"/>
      <c r="BM92" s="101"/>
      <c r="BN92" s="126"/>
      <c r="BO92" s="58"/>
      <c r="BP92" s="55"/>
      <c r="BQ92" s="346"/>
      <c r="BR92" s="56"/>
      <c r="BS92" s="395"/>
      <c r="BT92" s="337"/>
      <c r="BU92" s="395"/>
      <c r="BV92" s="46"/>
      <c r="BW92" s="57"/>
      <c r="BX92" s="125"/>
      <c r="BY92" s="254" t="str">
        <f t="shared" si="70"/>
        <v>- - -</v>
      </c>
      <c r="BZ92" s="53" t="str">
        <f t="shared" si="71"/>
        <v>- - -</v>
      </c>
      <c r="CA92" s="316" t="str">
        <f t="shared" si="72"/>
        <v>Chánh Văn phòng Học viện, Trưởng Ban Tổ chức - Cán bộ, Trưởng Trung tâm Ngoại ngữ - Tin học và Thông tin - Thư viện</v>
      </c>
      <c r="CB92" s="59" t="str">
        <f t="shared" si="73"/>
        <v>A</v>
      </c>
      <c r="CC92" s="38" t="str">
        <f t="shared" si="74"/>
        <v>=&gt; s</v>
      </c>
      <c r="CD92" s="48" t="str">
        <f t="shared" si="75"/>
        <v>---</v>
      </c>
      <c r="CE92" s="31" t="str">
        <f t="shared" si="76"/>
        <v>---</v>
      </c>
      <c r="CF92" s="31"/>
      <c r="CG92" s="306"/>
      <c r="CH92" s="31"/>
      <c r="CI92" s="140"/>
      <c r="CJ92" s="31" t="str">
        <f t="shared" si="77"/>
        <v>- - -</v>
      </c>
      <c r="CK92" s="51" t="str">
        <f t="shared" si="78"/>
        <v>- - -</v>
      </c>
      <c r="CL92" s="61"/>
      <c r="CM92" s="62"/>
      <c r="CN92" s="61"/>
      <c r="CO92" s="76"/>
      <c r="CP92" s="51" t="str">
        <f t="shared" si="79"/>
        <v>- - -</v>
      </c>
      <c r="CQ92" s="61"/>
      <c r="CR92" s="301"/>
      <c r="CS92" s="61"/>
      <c r="CT92" s="76"/>
      <c r="CU92" s="65" t="str">
        <f t="shared" si="80"/>
        <v>---</v>
      </c>
      <c r="CV92" s="66" t="str">
        <f t="shared" si="81"/>
        <v>/-/ /-/</v>
      </c>
      <c r="CW92" s="63">
        <f t="shared" si="82"/>
        <v>6</v>
      </c>
      <c r="CX92" s="64">
        <f t="shared" si="83"/>
        <v>2031</v>
      </c>
      <c r="CY92" s="63">
        <f t="shared" si="84"/>
        <v>3</v>
      </c>
      <c r="CZ92" s="64">
        <f t="shared" si="85"/>
        <v>2031</v>
      </c>
      <c r="DA92" s="63">
        <f t="shared" si="86"/>
        <v>12</v>
      </c>
      <c r="DB92" s="64">
        <f t="shared" si="87"/>
        <v>2030</v>
      </c>
      <c r="DC92" s="67" t="str">
        <f t="shared" si="88"/>
        <v>- - -</v>
      </c>
      <c r="DD92" s="68" t="str">
        <f t="shared" si="89"/>
        <v>. .</v>
      </c>
      <c r="DE92" s="68"/>
      <c r="DF92" s="48">
        <f t="shared" si="90"/>
        <v>720</v>
      </c>
      <c r="DG92" s="48">
        <f t="shared" si="91"/>
        <v>-23645</v>
      </c>
      <c r="DH92" s="48">
        <f t="shared" si="92"/>
        <v>-1971</v>
      </c>
      <c r="DI92" s="48" t="str">
        <f t="shared" si="93"/>
        <v>Nam dưới 35</v>
      </c>
      <c r="DJ92" s="48"/>
      <c r="DK92" s="48"/>
      <c r="DL92" s="53" t="str">
        <f t="shared" si="94"/>
        <v>Đến 30</v>
      </c>
      <c r="DM92" s="61" t="str">
        <f t="shared" si="95"/>
        <v>--</v>
      </c>
      <c r="DN92" s="32"/>
      <c r="DO92" s="31"/>
      <c r="DP92" s="69"/>
      <c r="DQ92" s="32"/>
      <c r="DR92" s="76"/>
      <c r="DS92" s="77"/>
      <c r="DT92" s="78"/>
      <c r="DU92" s="71"/>
      <c r="DV92" s="84"/>
      <c r="DW92" s="33" t="s">
        <v>488</v>
      </c>
      <c r="DX92" s="315" t="s">
        <v>126</v>
      </c>
      <c r="DY92" s="33"/>
      <c r="DZ92" s="44" t="s">
        <v>341</v>
      </c>
      <c r="EA92" s="45" t="s">
        <v>359</v>
      </c>
      <c r="EB92" s="45" t="s">
        <v>341</v>
      </c>
      <c r="EC92" s="45" t="s">
        <v>359</v>
      </c>
      <c r="ED92" s="72" t="s">
        <v>377</v>
      </c>
      <c r="EE92" s="45">
        <f t="shared" si="96"/>
        <v>0</v>
      </c>
      <c r="EF92" s="73" t="str">
        <f t="shared" si="97"/>
        <v>- - -</v>
      </c>
      <c r="EG92" s="44" t="s">
        <v>341</v>
      </c>
      <c r="EH92" s="45" t="s">
        <v>359</v>
      </c>
      <c r="EI92" s="45" t="s">
        <v>341</v>
      </c>
      <c r="EJ92" s="45" t="s">
        <v>359</v>
      </c>
      <c r="EK92" s="72" t="s">
        <v>377</v>
      </c>
      <c r="EL92" s="31"/>
      <c r="EM92" s="51" t="str">
        <f t="shared" si="98"/>
        <v>- - -</v>
      </c>
      <c r="EN92" s="74" t="str">
        <f t="shared" si="99"/>
        <v>---</v>
      </c>
      <c r="EO92" s="84"/>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554"/>
      <c r="FO92" s="554"/>
      <c r="FP92" s="554"/>
      <c r="FQ92" s="554"/>
      <c r="FR92" s="554"/>
    </row>
    <row r="93" spans="1:174" s="107" customFormat="1" ht="11.25" customHeight="1" x14ac:dyDescent="0.2">
      <c r="A93" s="100">
        <v>328</v>
      </c>
      <c r="B93" s="296">
        <v>372</v>
      </c>
      <c r="C93" s="31"/>
      <c r="D93" s="31" t="str">
        <f t="shared" si="56"/>
        <v>Bà</v>
      </c>
      <c r="E93" s="37" t="s">
        <v>322</v>
      </c>
      <c r="F93" s="31" t="s">
        <v>380</v>
      </c>
      <c r="G93" s="60" t="s">
        <v>273</v>
      </c>
      <c r="H93" s="508" t="s">
        <v>359</v>
      </c>
      <c r="I93" s="60" t="s">
        <v>344</v>
      </c>
      <c r="J93" s="508" t="s">
        <v>359</v>
      </c>
      <c r="K93" s="37" t="s">
        <v>320</v>
      </c>
      <c r="L93" s="157" t="s">
        <v>451</v>
      </c>
      <c r="M93" s="526" t="str">
        <f t="shared" si="57"/>
        <v>VC</v>
      </c>
      <c r="N93" s="163"/>
      <c r="O93" s="509" t="str">
        <f t="shared" si="58"/>
        <v>CVụ</v>
      </c>
      <c r="P93" s="37" t="s">
        <v>250</v>
      </c>
      <c r="Q93" s="296">
        <f>VLOOKUP(P93,'- DLiêu Gốc -'!$C$2:$H$115,2,0)</f>
        <v>0.4</v>
      </c>
      <c r="R93" s="37" t="s">
        <v>316</v>
      </c>
      <c r="S93" s="190" t="s">
        <v>119</v>
      </c>
      <c r="T93" s="35" t="str">
        <f>VLOOKUP(Y93,'- DLiêu Gốc -'!$C$2:$H$60,5,0)</f>
        <v>A2</v>
      </c>
      <c r="U93" s="36" t="str">
        <f>VLOOKUP(Y93,'- DLiêu Gốc -'!$C$2:$H$60,6,0)</f>
        <v>A2.1</v>
      </c>
      <c r="V93" s="537" t="s">
        <v>424</v>
      </c>
      <c r="W93" s="295" t="str">
        <f t="shared" si="59"/>
        <v>Giảng viên chính (hạng II)</v>
      </c>
      <c r="X93" s="298" t="str">
        <f t="shared" si="60"/>
        <v>V.07.01.02</v>
      </c>
      <c r="Y93" s="317" t="s">
        <v>431</v>
      </c>
      <c r="Z93" s="317" t="str">
        <f>VLOOKUP(Y93,'- DLiêu Gốc -'!$C$1:$H$133,2,0)</f>
        <v>V.07.01.02</v>
      </c>
      <c r="AA93" s="48" t="str">
        <f t="shared" si="61"/>
        <v>Lương</v>
      </c>
      <c r="AB93" s="139">
        <v>4</v>
      </c>
      <c r="AC93" s="407" t="s">
        <v>359</v>
      </c>
      <c r="AD93" s="39">
        <v>8</v>
      </c>
      <c r="AE93" s="40">
        <f t="shared" si="62"/>
        <v>5.42</v>
      </c>
      <c r="AF93" s="329"/>
      <c r="AG93" s="102"/>
      <c r="AH93" s="396"/>
      <c r="AI93" s="405" t="s">
        <v>359</v>
      </c>
      <c r="AJ93" s="102"/>
      <c r="AK93" s="405" t="s">
        <v>359</v>
      </c>
      <c r="AL93" s="406"/>
      <c r="AM93" s="126"/>
      <c r="AN93" s="49"/>
      <c r="AO93" s="249">
        <f t="shared" ref="AO93:AO102" si="100">AB93+1</f>
        <v>5</v>
      </c>
      <c r="AP93" s="185" t="str">
        <f t="shared" ref="AP93:AP102" si="101">IF(AD93=AB93,"%",IF(AD93&gt;AB93,"/"))</f>
        <v>/</v>
      </c>
      <c r="AQ93" s="80">
        <f t="shared" ref="AQ93:AQ102" si="102">IF(AND(AD93=AB93,AO93=4),5,IF(AND(AD93=AB93,AO93&gt;4),AO93+1,IF(AD93&gt;AB93,AD93)))</f>
        <v>8</v>
      </c>
      <c r="AR93" s="43">
        <f t="shared" ref="AR93:AR102" si="103">IF(AD93=AB93,"%",IF(AD93&gt;AB93,AE93+BE93))</f>
        <v>5.76</v>
      </c>
      <c r="AS93" s="333"/>
      <c r="AT93" s="44" t="s">
        <v>341</v>
      </c>
      <c r="AU93" s="395" t="s">
        <v>359</v>
      </c>
      <c r="AV93" s="45" t="s">
        <v>341</v>
      </c>
      <c r="AW93" s="395" t="s">
        <v>359</v>
      </c>
      <c r="AX93" s="46">
        <v>2021</v>
      </c>
      <c r="AY93" s="84"/>
      <c r="AZ93" s="383"/>
      <c r="BA93" s="392">
        <v>1.18</v>
      </c>
      <c r="BB93" s="47">
        <f t="shared" si="67"/>
        <v>3</v>
      </c>
      <c r="BC93" s="253">
        <f t="shared" si="68"/>
        <v>-24253</v>
      </c>
      <c r="BD93" s="205">
        <f>VLOOKUP(Y93,'- DLiêu Gốc -'!$C$1:$F$60,3,0)</f>
        <v>4.4000000000000004</v>
      </c>
      <c r="BE93" s="205">
        <f>VLOOKUP(Y93,'- DLiêu Gốc -'!$C$1:$F$60,4,0)</f>
        <v>0.34</v>
      </c>
      <c r="BF93" s="53" t="str">
        <f t="shared" si="69"/>
        <v>PCTN</v>
      </c>
      <c r="BG93" s="54">
        <v>26</v>
      </c>
      <c r="BH93" s="343" t="s">
        <v>332</v>
      </c>
      <c r="BI93" s="56" t="s">
        <v>341</v>
      </c>
      <c r="BJ93" s="400" t="s">
        <v>359</v>
      </c>
      <c r="BK93" s="341" t="s">
        <v>346</v>
      </c>
      <c r="BL93" s="400" t="s">
        <v>359</v>
      </c>
      <c r="BM93" s="178">
        <v>2019</v>
      </c>
      <c r="BN93" s="126"/>
      <c r="BO93" s="58"/>
      <c r="BP93" s="55">
        <f>IF(BG93&gt;3,BG93+1,0)</f>
        <v>27</v>
      </c>
      <c r="BQ93" s="346" t="s">
        <v>332</v>
      </c>
      <c r="BR93" s="56" t="s">
        <v>341</v>
      </c>
      <c r="BS93" s="395" t="s">
        <v>359</v>
      </c>
      <c r="BT93" s="339" t="s">
        <v>346</v>
      </c>
      <c r="BU93" s="395" t="s">
        <v>359</v>
      </c>
      <c r="BV93" s="178">
        <v>2020</v>
      </c>
      <c r="BW93" s="57"/>
      <c r="BX93" s="125">
        <v>3</v>
      </c>
      <c r="BY93" s="254">
        <f t="shared" si="70"/>
        <v>-24243</v>
      </c>
      <c r="BZ93" s="53" t="str">
        <f t="shared" si="71"/>
        <v>- - -</v>
      </c>
      <c r="CA93" s="316" t="str">
        <f t="shared" si="72"/>
        <v>Chánh Văn phòng Học viện, Trưởng Ban Tổ chức - Cán bộ, Trưởng Khoa Văn bản và Công nghệ hành chính</v>
      </c>
      <c r="CB93" s="59" t="str">
        <f t="shared" si="73"/>
        <v>A</v>
      </c>
      <c r="CC93" s="38" t="str">
        <f t="shared" si="74"/>
        <v>=&gt; s</v>
      </c>
      <c r="CD93" s="48">
        <f t="shared" si="75"/>
        <v>24277</v>
      </c>
      <c r="CE93" s="31" t="str">
        <f t="shared" si="76"/>
        <v>---</v>
      </c>
      <c r="CF93" s="31"/>
      <c r="CG93" s="303"/>
      <c r="CH93" s="31"/>
      <c r="CI93" s="105"/>
      <c r="CJ93" s="31" t="str">
        <f t="shared" si="77"/>
        <v>- - -</v>
      </c>
      <c r="CK93" s="51" t="str">
        <f t="shared" si="78"/>
        <v>NN</v>
      </c>
      <c r="CL93" s="61">
        <v>1</v>
      </c>
      <c r="CM93" s="62">
        <v>2009</v>
      </c>
      <c r="CN93" s="61"/>
      <c r="CO93" s="76"/>
      <c r="CP93" s="51" t="str">
        <f t="shared" si="79"/>
        <v>- - -</v>
      </c>
      <c r="CQ93" s="61"/>
      <c r="CR93" s="62"/>
      <c r="CS93" s="61"/>
      <c r="CT93" s="76"/>
      <c r="CU93" s="65" t="str">
        <f t="shared" si="80"/>
        <v>---</v>
      </c>
      <c r="CV93" s="66" t="str">
        <f t="shared" si="81"/>
        <v>/-/ /-/</v>
      </c>
      <c r="CW93" s="63">
        <f t="shared" si="82"/>
        <v>7</v>
      </c>
      <c r="CX93" s="64">
        <f t="shared" si="83"/>
        <v>2022</v>
      </c>
      <c r="CY93" s="63">
        <f t="shared" si="84"/>
        <v>4</v>
      </c>
      <c r="CZ93" s="64">
        <f t="shared" si="85"/>
        <v>2022</v>
      </c>
      <c r="DA93" s="63">
        <f t="shared" si="86"/>
        <v>1</v>
      </c>
      <c r="DB93" s="64">
        <f t="shared" si="87"/>
        <v>2022</v>
      </c>
      <c r="DC93" s="67" t="str">
        <f t="shared" si="88"/>
        <v>- - -</v>
      </c>
      <c r="DD93" s="68" t="str">
        <f t="shared" si="89"/>
        <v>. .</v>
      </c>
      <c r="DE93" s="68"/>
      <c r="DF93" s="48">
        <f t="shared" si="90"/>
        <v>660</v>
      </c>
      <c r="DG93" s="48">
        <f t="shared" si="91"/>
        <v>-23598</v>
      </c>
      <c r="DH93" s="48">
        <f t="shared" si="92"/>
        <v>-1967</v>
      </c>
      <c r="DI93" s="48" t="str">
        <f t="shared" si="93"/>
        <v>Nữ dưới 30</v>
      </c>
      <c r="DJ93" s="48"/>
      <c r="DK93" s="48"/>
      <c r="DL93" s="53" t="str">
        <f t="shared" si="94"/>
        <v>Đến 30</v>
      </c>
      <c r="DM93" s="61" t="str">
        <f t="shared" si="95"/>
        <v>--</v>
      </c>
      <c r="DN93" s="32"/>
      <c r="DO93" s="31"/>
      <c r="DP93" s="69"/>
      <c r="DQ93" s="32"/>
      <c r="DR93" s="76"/>
      <c r="DS93" s="77"/>
      <c r="DT93" s="78"/>
      <c r="DU93" s="71"/>
      <c r="DV93" s="84"/>
      <c r="DW93" s="33" t="s">
        <v>316</v>
      </c>
      <c r="DX93" s="315" t="s">
        <v>119</v>
      </c>
      <c r="DY93" s="33" t="s">
        <v>316</v>
      </c>
      <c r="DZ93" s="44" t="s">
        <v>341</v>
      </c>
      <c r="EA93" s="45" t="s">
        <v>359</v>
      </c>
      <c r="EB93" s="143" t="s">
        <v>341</v>
      </c>
      <c r="EC93" s="45" t="s">
        <v>359</v>
      </c>
      <c r="ED93" s="72">
        <v>2012</v>
      </c>
      <c r="EE93" s="45">
        <f t="shared" si="96"/>
        <v>0</v>
      </c>
      <c r="EF93" s="73" t="str">
        <f t="shared" si="97"/>
        <v>- - -</v>
      </c>
      <c r="EG93" s="44" t="s">
        <v>341</v>
      </c>
      <c r="EH93" s="45" t="s">
        <v>359</v>
      </c>
      <c r="EI93" s="45" t="s">
        <v>341</v>
      </c>
      <c r="EJ93" s="45" t="s">
        <v>359</v>
      </c>
      <c r="EK93" s="72">
        <v>2012</v>
      </c>
      <c r="EL93" s="31">
        <v>3.99</v>
      </c>
      <c r="EM93" s="51" t="str">
        <f t="shared" si="98"/>
        <v>- - -</v>
      </c>
      <c r="EN93" s="74" t="str">
        <f t="shared" si="99"/>
        <v>---</v>
      </c>
      <c r="EO93" s="84"/>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105"/>
      <c r="FO93" s="105"/>
      <c r="FP93" s="105"/>
      <c r="FQ93" s="105"/>
      <c r="FR93" s="105"/>
    </row>
    <row r="94" spans="1:174" s="1404" customFormat="1" ht="11.25" customHeight="1" x14ac:dyDescent="0.2">
      <c r="A94" s="100">
        <v>333</v>
      </c>
      <c r="B94" s="434">
        <v>377</v>
      </c>
      <c r="C94" s="31"/>
      <c r="D94" s="31" t="str">
        <f t="shared" si="56"/>
        <v>Bà</v>
      </c>
      <c r="E94" s="37" t="s">
        <v>43</v>
      </c>
      <c r="F94" s="31" t="s">
        <v>380</v>
      </c>
      <c r="G94" s="60" t="s">
        <v>372</v>
      </c>
      <c r="H94" s="508" t="s">
        <v>359</v>
      </c>
      <c r="I94" s="60" t="s">
        <v>346</v>
      </c>
      <c r="J94" s="508" t="s">
        <v>359</v>
      </c>
      <c r="K94" s="37">
        <v>1983</v>
      </c>
      <c r="L94" s="157" t="s">
        <v>451</v>
      </c>
      <c r="M94" s="526" t="str">
        <f t="shared" si="57"/>
        <v>VC</v>
      </c>
      <c r="N94" s="163"/>
      <c r="O94" s="509" t="e">
        <f t="shared" si="58"/>
        <v>#N/A</v>
      </c>
      <c r="P94" s="37"/>
      <c r="Q94" s="296" t="e">
        <f>VLOOKUP(P94,'- DLiêu Gốc -'!$C$2:$H$115,2,0)</f>
        <v>#N/A</v>
      </c>
      <c r="R94" s="123" t="s">
        <v>316</v>
      </c>
      <c r="S94" s="462" t="s">
        <v>119</v>
      </c>
      <c r="T94" s="446" t="str">
        <f>VLOOKUP(Y94,'- DLiêu Gốc -'!$C$2:$H$60,5,0)</f>
        <v>A1</v>
      </c>
      <c r="U94" s="447" t="str">
        <f>VLOOKUP(Y94,'- DLiêu Gốc -'!$C$2:$H$60,6,0)</f>
        <v>- - -</v>
      </c>
      <c r="V94" s="307" t="s">
        <v>424</v>
      </c>
      <c r="W94" s="463" t="str">
        <f t="shared" si="59"/>
        <v>Giảng viên (hạng III)</v>
      </c>
      <c r="X94" s="303" t="str">
        <f t="shared" si="60"/>
        <v>V.07.01.03</v>
      </c>
      <c r="Y94" s="464" t="s">
        <v>430</v>
      </c>
      <c r="Z94" s="464" t="str">
        <f>VLOOKUP(Y94,'- DLiêu Gốc -'!$C$1:$H$133,2,0)</f>
        <v>V.07.01.03</v>
      </c>
      <c r="AA94" s="149" t="str">
        <f t="shared" si="61"/>
        <v>Lương</v>
      </c>
      <c r="AB94" s="142">
        <v>5</v>
      </c>
      <c r="AC94" s="173" t="s">
        <v>359</v>
      </c>
      <c r="AD94" s="39">
        <v>9</v>
      </c>
      <c r="AE94" s="465">
        <f t="shared" si="62"/>
        <v>3.66</v>
      </c>
      <c r="AF94" s="465"/>
      <c r="AG94" s="329"/>
      <c r="AH94" s="465"/>
      <c r="AI94" s="445" t="s">
        <v>359</v>
      </c>
      <c r="AJ94" s="465"/>
      <c r="AK94" s="445" t="s">
        <v>359</v>
      </c>
      <c r="AL94" s="406"/>
      <c r="AM94" s="174"/>
      <c r="AN94" s="172"/>
      <c r="AO94" s="454">
        <f t="shared" si="100"/>
        <v>6</v>
      </c>
      <c r="AP94" s="448" t="str">
        <f t="shared" si="101"/>
        <v>/</v>
      </c>
      <c r="AQ94" s="470">
        <f t="shared" si="102"/>
        <v>9</v>
      </c>
      <c r="AR94" s="43">
        <f t="shared" si="103"/>
        <v>3.99</v>
      </c>
      <c r="AS94" s="333"/>
      <c r="AT94" s="148" t="s">
        <v>341</v>
      </c>
      <c r="AU94" s="404" t="s">
        <v>359</v>
      </c>
      <c r="AV94" s="143" t="s">
        <v>341</v>
      </c>
      <c r="AW94" s="404" t="s">
        <v>359</v>
      </c>
      <c r="AX94" s="46">
        <v>2021</v>
      </c>
      <c r="AY94" s="123"/>
      <c r="AZ94" s="388"/>
      <c r="BA94" s="478">
        <v>1.18</v>
      </c>
      <c r="BB94" s="479">
        <f t="shared" si="67"/>
        <v>3</v>
      </c>
      <c r="BC94" s="480">
        <f t="shared" si="68"/>
        <v>-24253</v>
      </c>
      <c r="BD94" s="481">
        <f>VLOOKUP(Y94,'- DLiêu Gốc -'!$C$1:$F$60,3,0)</f>
        <v>2.34</v>
      </c>
      <c r="BE94" s="481">
        <f>VLOOKUP(Y94,'- DLiêu Gốc -'!$C$1:$F$60,4,0)</f>
        <v>0.33</v>
      </c>
      <c r="BF94" s="482" t="str">
        <f t="shared" si="69"/>
        <v>PCTN</v>
      </c>
      <c r="BG94" s="449">
        <v>12</v>
      </c>
      <c r="BH94" s="450" t="s">
        <v>332</v>
      </c>
      <c r="BI94" s="455" t="s">
        <v>341</v>
      </c>
      <c r="BJ94" s="474" t="s">
        <v>359</v>
      </c>
      <c r="BK94" s="752" t="s">
        <v>341</v>
      </c>
      <c r="BL94" s="474" t="s">
        <v>359</v>
      </c>
      <c r="BM94" s="178">
        <v>2019</v>
      </c>
      <c r="BN94" s="174"/>
      <c r="BO94" s="451"/>
      <c r="BP94" s="449">
        <f>IF(BG94&gt;3,BG94+1,0)</f>
        <v>13</v>
      </c>
      <c r="BQ94" s="172" t="s">
        <v>332</v>
      </c>
      <c r="BR94" s="455" t="s">
        <v>341</v>
      </c>
      <c r="BS94" s="404" t="s">
        <v>359</v>
      </c>
      <c r="BT94" s="141" t="s">
        <v>341</v>
      </c>
      <c r="BU94" s="404" t="s">
        <v>359</v>
      </c>
      <c r="BV94" s="46">
        <v>2020</v>
      </c>
      <c r="BW94" s="144"/>
      <c r="BX94" s="485">
        <v>1</v>
      </c>
      <c r="BY94" s="486">
        <f t="shared" si="70"/>
        <v>-24241</v>
      </c>
      <c r="BZ94" s="482" t="str">
        <f t="shared" si="71"/>
        <v>- - -</v>
      </c>
      <c r="CA94" s="489" t="str">
        <f t="shared" si="72"/>
        <v>Chánh Văn phòng Học viện, Trưởng Ban Tổ chức - Cán bộ, Trưởng Khoa Văn bản và Công nghệ hành chính</v>
      </c>
      <c r="CB94" s="436" t="str">
        <f t="shared" si="73"/>
        <v>A</v>
      </c>
      <c r="CC94" s="149" t="str">
        <f t="shared" si="74"/>
        <v>=&gt; s</v>
      </c>
      <c r="CD94" s="149">
        <f t="shared" si="75"/>
        <v>24277</v>
      </c>
      <c r="CE94" s="146" t="str">
        <f t="shared" si="76"/>
        <v>S</v>
      </c>
      <c r="CF94" s="146">
        <v>2012</v>
      </c>
      <c r="CG94" s="303" t="s">
        <v>426</v>
      </c>
      <c r="CH94" s="146"/>
      <c r="CI94" s="753"/>
      <c r="CJ94" s="146" t="str">
        <f t="shared" si="77"/>
        <v>Cùg Ng</v>
      </c>
      <c r="CK94" s="147" t="str">
        <f t="shared" si="78"/>
        <v>- - -</v>
      </c>
      <c r="CL94" s="147"/>
      <c r="CM94" s="146"/>
      <c r="CN94" s="147"/>
      <c r="CO94" s="147"/>
      <c r="CP94" s="147" t="str">
        <f t="shared" si="79"/>
        <v>- - -</v>
      </c>
      <c r="CQ94" s="147"/>
      <c r="CR94" s="146"/>
      <c r="CS94" s="147"/>
      <c r="CT94" s="147"/>
      <c r="CU94" s="452" t="str">
        <f t="shared" si="80"/>
        <v>---</v>
      </c>
      <c r="CV94" s="495" t="str">
        <f t="shared" si="81"/>
        <v>/-/ /-/</v>
      </c>
      <c r="CW94" s="175">
        <f t="shared" si="82"/>
        <v>4</v>
      </c>
      <c r="CX94" s="175">
        <f t="shared" si="83"/>
        <v>2038</v>
      </c>
      <c r="CY94" s="175">
        <f t="shared" si="84"/>
        <v>1</v>
      </c>
      <c r="CZ94" s="175">
        <f t="shared" si="85"/>
        <v>2038</v>
      </c>
      <c r="DA94" s="175">
        <f t="shared" si="86"/>
        <v>10</v>
      </c>
      <c r="DB94" s="175">
        <f t="shared" si="87"/>
        <v>2037</v>
      </c>
      <c r="DC94" s="453" t="str">
        <f t="shared" si="88"/>
        <v>- - -</v>
      </c>
      <c r="DD94" s="496" t="str">
        <f t="shared" si="89"/>
        <v>. .</v>
      </c>
      <c r="DE94" s="497"/>
      <c r="DF94" s="149">
        <f t="shared" si="90"/>
        <v>660</v>
      </c>
      <c r="DG94" s="149">
        <f t="shared" si="91"/>
        <v>-23787</v>
      </c>
      <c r="DH94" s="149">
        <f t="shared" si="92"/>
        <v>-1983</v>
      </c>
      <c r="DI94" s="149" t="str">
        <f t="shared" si="93"/>
        <v>Nữ dưới 30</v>
      </c>
      <c r="DJ94" s="149"/>
      <c r="DK94" s="149"/>
      <c r="DL94" s="482" t="str">
        <f t="shared" si="94"/>
        <v>Đến 30</v>
      </c>
      <c r="DM94" s="147" t="str">
        <f t="shared" si="95"/>
        <v>TD</v>
      </c>
      <c r="DN94" s="146">
        <v>2012</v>
      </c>
      <c r="DO94" s="146"/>
      <c r="DP94" s="146"/>
      <c r="DQ94" s="146"/>
      <c r="DR94" s="147"/>
      <c r="DS94" s="147"/>
      <c r="DT94" s="173"/>
      <c r="DU94" s="502"/>
      <c r="DV94" s="123"/>
      <c r="DW94" s="123" t="s">
        <v>316</v>
      </c>
      <c r="DX94" s="462" t="s">
        <v>119</v>
      </c>
      <c r="DY94" s="123" t="s">
        <v>316</v>
      </c>
      <c r="DZ94" s="148" t="s">
        <v>341</v>
      </c>
      <c r="EA94" s="143" t="s">
        <v>359</v>
      </c>
      <c r="EB94" s="143" t="s">
        <v>341</v>
      </c>
      <c r="EC94" s="143" t="s">
        <v>359</v>
      </c>
      <c r="ED94" s="176">
        <v>2012</v>
      </c>
      <c r="EE94" s="143">
        <f t="shared" si="96"/>
        <v>0</v>
      </c>
      <c r="EF94" s="146" t="str">
        <f t="shared" si="97"/>
        <v>- - -</v>
      </c>
      <c r="EG94" s="148" t="s">
        <v>341</v>
      </c>
      <c r="EH94" s="143" t="s">
        <v>359</v>
      </c>
      <c r="EI94" s="143" t="s">
        <v>341</v>
      </c>
      <c r="EJ94" s="143" t="s">
        <v>359</v>
      </c>
      <c r="EK94" s="176">
        <v>2012</v>
      </c>
      <c r="EL94" s="146"/>
      <c r="EM94" s="147" t="str">
        <f t="shared" si="98"/>
        <v>- - -</v>
      </c>
      <c r="EN94" s="453" t="str">
        <f t="shared" si="99"/>
        <v>---</v>
      </c>
      <c r="EO94" s="123"/>
      <c r="EP94" s="175"/>
      <c r="EQ94" s="175"/>
      <c r="ER94" s="175"/>
      <c r="ES94" s="175"/>
      <c r="ET94" s="175"/>
      <c r="EU94" s="175"/>
      <c r="EV94" s="175"/>
      <c r="EW94" s="175"/>
      <c r="EX94" s="175"/>
      <c r="EY94" s="175"/>
      <c r="EZ94" s="175"/>
      <c r="FA94" s="175"/>
      <c r="FB94" s="175"/>
      <c r="FC94" s="175"/>
      <c r="FD94" s="175"/>
      <c r="FE94" s="175"/>
      <c r="FF94" s="175"/>
      <c r="FG94" s="175"/>
      <c r="FH94" s="175"/>
      <c r="FI94" s="175"/>
      <c r="FJ94" s="175"/>
      <c r="FK94" s="175"/>
      <c r="FL94" s="175"/>
      <c r="FM94" s="175"/>
      <c r="FN94" s="175"/>
      <c r="FO94" s="175"/>
      <c r="FP94" s="175"/>
      <c r="FQ94" s="175"/>
      <c r="FR94" s="175"/>
    </row>
    <row r="95" spans="1:174" s="30" customFormat="1" ht="14.25" customHeight="1" x14ac:dyDescent="0.2">
      <c r="A95" s="100">
        <v>343</v>
      </c>
      <c r="B95" s="296">
        <v>386</v>
      </c>
      <c r="C95" s="31"/>
      <c r="D95" s="31" t="str">
        <f t="shared" si="56"/>
        <v>Bà</v>
      </c>
      <c r="E95" s="37" t="s">
        <v>328</v>
      </c>
      <c r="F95" s="31" t="s">
        <v>380</v>
      </c>
      <c r="G95" s="60" t="s">
        <v>370</v>
      </c>
      <c r="H95" s="508" t="s">
        <v>359</v>
      </c>
      <c r="I95" s="60" t="s">
        <v>345</v>
      </c>
      <c r="J95" s="508" t="s">
        <v>359</v>
      </c>
      <c r="K95" s="37" t="s">
        <v>319</v>
      </c>
      <c r="L95" s="157" t="s">
        <v>451</v>
      </c>
      <c r="M95" s="526" t="str">
        <f t="shared" si="57"/>
        <v>VC</v>
      </c>
      <c r="N95" s="163"/>
      <c r="O95" s="509" t="str">
        <f t="shared" si="58"/>
        <v>CVụ</v>
      </c>
      <c r="P95" s="37" t="s">
        <v>250</v>
      </c>
      <c r="Q95" s="296">
        <f>VLOOKUP(P95,'- DLiêu Gốc -'!$C$2:$H$115,2,0)</f>
        <v>0.4</v>
      </c>
      <c r="R95" s="123" t="s">
        <v>39</v>
      </c>
      <c r="S95" s="462" t="s">
        <v>119</v>
      </c>
      <c r="T95" s="446" t="str">
        <f>VLOOKUP(Y95,'- DLiêu Gốc -'!$C$2:$H$60,5,0)</f>
        <v>A2</v>
      </c>
      <c r="U95" s="447" t="str">
        <f>VLOOKUP(Y95,'- DLiêu Gốc -'!$C$2:$H$60,6,0)</f>
        <v>A2.1</v>
      </c>
      <c r="V95" s="307" t="s">
        <v>424</v>
      </c>
      <c r="W95" s="463" t="str">
        <f t="shared" si="59"/>
        <v>Giảng viên chính (hạng II)</v>
      </c>
      <c r="X95" s="303" t="str">
        <f t="shared" si="60"/>
        <v>V.07.01.02</v>
      </c>
      <c r="Y95" s="464" t="s">
        <v>431</v>
      </c>
      <c r="Z95" s="464" t="str">
        <f>VLOOKUP(Y95,'- DLiêu Gốc -'!$C$1:$H$133,2,0)</f>
        <v>V.07.01.02</v>
      </c>
      <c r="AA95" s="149" t="str">
        <f t="shared" si="61"/>
        <v>Lương</v>
      </c>
      <c r="AB95" s="142">
        <v>4</v>
      </c>
      <c r="AC95" s="173" t="s">
        <v>359</v>
      </c>
      <c r="AD95" s="39">
        <v>8</v>
      </c>
      <c r="AE95" s="465">
        <f t="shared" si="62"/>
        <v>5.42</v>
      </c>
      <c r="AF95" s="465"/>
      <c r="AG95" s="465"/>
      <c r="AH95" s="465"/>
      <c r="AI95" s="445" t="s">
        <v>359</v>
      </c>
      <c r="AJ95" s="465"/>
      <c r="AK95" s="445" t="s">
        <v>359</v>
      </c>
      <c r="AL95" s="406"/>
      <c r="AM95" s="174"/>
      <c r="AN95" s="172"/>
      <c r="AO95" s="454">
        <f t="shared" si="100"/>
        <v>5</v>
      </c>
      <c r="AP95" s="448" t="str">
        <f t="shared" si="101"/>
        <v>/</v>
      </c>
      <c r="AQ95" s="470">
        <f t="shared" si="102"/>
        <v>8</v>
      </c>
      <c r="AR95" s="448">
        <f t="shared" si="103"/>
        <v>5.76</v>
      </c>
      <c r="AS95" s="448"/>
      <c r="AT95" s="148" t="s">
        <v>341</v>
      </c>
      <c r="AU95" s="404" t="s">
        <v>359</v>
      </c>
      <c r="AV95" s="143" t="s">
        <v>341</v>
      </c>
      <c r="AW95" s="404" t="s">
        <v>359</v>
      </c>
      <c r="AX95" s="46">
        <v>2021</v>
      </c>
      <c r="AY95" s="123"/>
      <c r="AZ95" s="388" t="s">
        <v>612</v>
      </c>
      <c r="BA95" s="478">
        <v>1.18</v>
      </c>
      <c r="BB95" s="479">
        <f t="shared" si="67"/>
        <v>3</v>
      </c>
      <c r="BC95" s="480">
        <f t="shared" si="68"/>
        <v>-24253</v>
      </c>
      <c r="BD95" s="481">
        <f>VLOOKUP(Y95,'- DLiêu Gốc -'!$C$1:$F$60,3,0)</f>
        <v>4.4000000000000004</v>
      </c>
      <c r="BE95" s="481">
        <f>VLOOKUP(Y95,'- DLiêu Gốc -'!$C$1:$F$60,4,0)</f>
        <v>0.34</v>
      </c>
      <c r="BF95" s="482" t="str">
        <f t="shared" si="69"/>
        <v>PCTN</v>
      </c>
      <c r="BG95" s="449">
        <v>23</v>
      </c>
      <c r="BH95" s="450" t="s">
        <v>332</v>
      </c>
      <c r="BI95" s="455" t="s">
        <v>341</v>
      </c>
      <c r="BJ95" s="474" t="s">
        <v>359</v>
      </c>
      <c r="BK95" s="752">
        <v>4</v>
      </c>
      <c r="BL95" s="474" t="s">
        <v>359</v>
      </c>
      <c r="BM95" s="178">
        <v>2019</v>
      </c>
      <c r="BN95" s="174"/>
      <c r="BO95" s="451"/>
      <c r="BP95" s="449">
        <f>IF(BG95&gt;3,BG95+1,0)</f>
        <v>24</v>
      </c>
      <c r="BQ95" s="172" t="s">
        <v>332</v>
      </c>
      <c r="BR95" s="455" t="s">
        <v>341</v>
      </c>
      <c r="BS95" s="404" t="s">
        <v>359</v>
      </c>
      <c r="BT95" s="141">
        <v>4</v>
      </c>
      <c r="BU95" s="404" t="s">
        <v>359</v>
      </c>
      <c r="BV95" s="178">
        <v>2020</v>
      </c>
      <c r="BW95" s="144"/>
      <c r="BX95" s="485">
        <v>4</v>
      </c>
      <c r="BY95" s="486">
        <f t="shared" si="70"/>
        <v>-24244</v>
      </c>
      <c r="BZ95" s="482" t="str">
        <f t="shared" si="71"/>
        <v>- - -</v>
      </c>
      <c r="CA95" s="489" t="str">
        <f t="shared" si="72"/>
        <v>Chánh Văn phòng Học viện, Trưởng Ban Tổ chức - Cán bộ, Trưởng Khoa Văn bản và Công nghệ hành chính</v>
      </c>
      <c r="CB95" s="436" t="str">
        <f t="shared" si="73"/>
        <v>A</v>
      </c>
      <c r="CC95" s="149" t="str">
        <f t="shared" si="74"/>
        <v>=&gt; s</v>
      </c>
      <c r="CD95" s="149">
        <f t="shared" si="75"/>
        <v>24277</v>
      </c>
      <c r="CE95" s="146" t="str">
        <f t="shared" si="76"/>
        <v>---</v>
      </c>
      <c r="CF95" s="146"/>
      <c r="CG95" s="303"/>
      <c r="CH95" s="146"/>
      <c r="CI95" s="753"/>
      <c r="CJ95" s="146" t="str">
        <f t="shared" si="77"/>
        <v>- - -</v>
      </c>
      <c r="CK95" s="147" t="str">
        <f t="shared" si="78"/>
        <v>NN</v>
      </c>
      <c r="CL95" s="147">
        <v>1</v>
      </c>
      <c r="CM95" s="146" t="s">
        <v>379</v>
      </c>
      <c r="CN95" s="147"/>
      <c r="CO95" s="147"/>
      <c r="CP95" s="147" t="str">
        <f t="shared" si="79"/>
        <v>- - -</v>
      </c>
      <c r="CQ95" s="147"/>
      <c r="CR95" s="146"/>
      <c r="CS95" s="147"/>
      <c r="CT95" s="147"/>
      <c r="CU95" s="452" t="str">
        <f t="shared" si="80"/>
        <v>---</v>
      </c>
      <c r="CV95" s="495" t="str">
        <f t="shared" si="81"/>
        <v>/-/ /-/</v>
      </c>
      <c r="CW95" s="175">
        <f t="shared" si="82"/>
        <v>9</v>
      </c>
      <c r="CX95" s="175">
        <f t="shared" si="83"/>
        <v>2025</v>
      </c>
      <c r="CY95" s="175">
        <f t="shared" si="84"/>
        <v>6</v>
      </c>
      <c r="CZ95" s="175">
        <f t="shared" si="85"/>
        <v>2025</v>
      </c>
      <c r="DA95" s="175">
        <f t="shared" si="86"/>
        <v>3</v>
      </c>
      <c r="DB95" s="175">
        <f t="shared" si="87"/>
        <v>2025</v>
      </c>
      <c r="DC95" s="453" t="str">
        <f t="shared" si="88"/>
        <v>- - -</v>
      </c>
      <c r="DD95" s="496" t="str">
        <f t="shared" si="89"/>
        <v>. .</v>
      </c>
      <c r="DE95" s="497"/>
      <c r="DF95" s="149">
        <f t="shared" si="90"/>
        <v>660</v>
      </c>
      <c r="DG95" s="149">
        <f t="shared" si="91"/>
        <v>-23636</v>
      </c>
      <c r="DH95" s="149">
        <f t="shared" si="92"/>
        <v>-1970</v>
      </c>
      <c r="DI95" s="149" t="str">
        <f t="shared" si="93"/>
        <v>Nữ dưới 30</v>
      </c>
      <c r="DJ95" s="149"/>
      <c r="DK95" s="149"/>
      <c r="DL95" s="482" t="str">
        <f t="shared" si="94"/>
        <v>Đến 30</v>
      </c>
      <c r="DM95" s="147" t="str">
        <f t="shared" si="95"/>
        <v>--</v>
      </c>
      <c r="DN95" s="146"/>
      <c r="DO95" s="146"/>
      <c r="DP95" s="146"/>
      <c r="DQ95" s="146"/>
      <c r="DR95" s="147"/>
      <c r="DS95" s="147"/>
      <c r="DT95" s="173"/>
      <c r="DU95" s="502"/>
      <c r="DV95" s="123"/>
      <c r="DW95" s="123" t="s">
        <v>39</v>
      </c>
      <c r="DX95" s="462" t="s">
        <v>119</v>
      </c>
      <c r="DY95" s="123" t="s">
        <v>39</v>
      </c>
      <c r="DZ95" s="148" t="s">
        <v>341</v>
      </c>
      <c r="EA95" s="143" t="s">
        <v>359</v>
      </c>
      <c r="EB95" s="143" t="s">
        <v>341</v>
      </c>
      <c r="EC95" s="143" t="s">
        <v>359</v>
      </c>
      <c r="ED95" s="176" t="s">
        <v>377</v>
      </c>
      <c r="EE95" s="143">
        <f t="shared" si="96"/>
        <v>0</v>
      </c>
      <c r="EF95" s="146" t="str">
        <f t="shared" si="97"/>
        <v>- - -</v>
      </c>
      <c r="EG95" s="148" t="s">
        <v>341</v>
      </c>
      <c r="EH95" s="143" t="s">
        <v>359</v>
      </c>
      <c r="EI95" s="143" t="s">
        <v>341</v>
      </c>
      <c r="EJ95" s="143" t="s">
        <v>359</v>
      </c>
      <c r="EK95" s="176" t="s">
        <v>377</v>
      </c>
      <c r="EL95" s="146">
        <v>3.66</v>
      </c>
      <c r="EM95" s="147" t="str">
        <f t="shared" si="98"/>
        <v>- - -</v>
      </c>
      <c r="EN95" s="453" t="str">
        <f t="shared" si="99"/>
        <v>---</v>
      </c>
      <c r="EO95" s="123"/>
      <c r="EP95" s="175"/>
      <c r="EQ95" s="175"/>
      <c r="ER95" s="175"/>
      <c r="ES95" s="175"/>
      <c r="ET95" s="175"/>
      <c r="EU95" s="175"/>
      <c r="EV95" s="175"/>
      <c r="EW95" s="175"/>
      <c r="EX95" s="175"/>
      <c r="EY95" s="175"/>
      <c r="EZ95" s="175"/>
      <c r="FA95" s="175"/>
      <c r="FB95" s="175"/>
      <c r="FC95" s="175"/>
      <c r="FD95" s="175"/>
      <c r="FE95" s="175"/>
      <c r="FF95" s="175"/>
      <c r="FG95" s="175"/>
      <c r="FH95" s="175"/>
      <c r="FI95" s="175"/>
      <c r="FJ95" s="175"/>
      <c r="FK95" s="175"/>
      <c r="FL95" s="175"/>
      <c r="FM95" s="175"/>
      <c r="FN95" s="1403"/>
      <c r="FO95" s="1403"/>
      <c r="FP95" s="1403"/>
      <c r="FQ95" s="1403"/>
      <c r="FR95" s="1403"/>
    </row>
    <row r="96" spans="1:174" s="121" customFormat="1" ht="11.25" customHeight="1" x14ac:dyDescent="0.2">
      <c r="A96" s="100">
        <v>361</v>
      </c>
      <c r="B96" s="296">
        <v>404</v>
      </c>
      <c r="C96" s="31"/>
      <c r="D96" s="31" t="str">
        <f t="shared" si="56"/>
        <v>Bà</v>
      </c>
      <c r="E96" s="92" t="s">
        <v>92</v>
      </c>
      <c r="F96" s="31" t="s">
        <v>380</v>
      </c>
      <c r="G96" s="60" t="s">
        <v>276</v>
      </c>
      <c r="H96" s="508" t="s">
        <v>359</v>
      </c>
      <c r="I96" s="60" t="s">
        <v>371</v>
      </c>
      <c r="J96" s="508" t="s">
        <v>359</v>
      </c>
      <c r="K96" s="37">
        <v>1989</v>
      </c>
      <c r="L96" s="157" t="s">
        <v>434</v>
      </c>
      <c r="M96" s="526" t="str">
        <f t="shared" si="57"/>
        <v>NLĐ</v>
      </c>
      <c r="N96" s="163"/>
      <c r="O96" s="509" t="e">
        <f t="shared" si="58"/>
        <v>#N/A</v>
      </c>
      <c r="P96" s="37"/>
      <c r="Q96" s="296" t="e">
        <f>VLOOKUP(P96,'[1]- DLiêu Gốc (Không sửa)'!$C$2:$H$116,2,0)</f>
        <v>#N/A</v>
      </c>
      <c r="R96" s="296" t="s">
        <v>606</v>
      </c>
      <c r="S96" s="37" t="s">
        <v>570</v>
      </c>
      <c r="T96" s="35" t="str">
        <f>VLOOKUP(Y96,'- DLiêu Gốc -'!$C$2:$H$60,5,0)</f>
        <v>A1</v>
      </c>
      <c r="U96" s="36" t="str">
        <f>VLOOKUP(Y96,'- DLiêu Gốc -'!$C$2:$H$60,6,0)</f>
        <v>- - -</v>
      </c>
      <c r="V96" s="537" t="s">
        <v>425</v>
      </c>
      <c r="W96" s="295" t="str">
        <f t="shared" si="59"/>
        <v>Chuyên viên</v>
      </c>
      <c r="X96" s="298" t="str">
        <f t="shared" si="60"/>
        <v>01.003</v>
      </c>
      <c r="Y96" s="317" t="s">
        <v>339</v>
      </c>
      <c r="Z96" s="317" t="str">
        <f>VLOOKUP(Y96,'- DLiêu Gốc -'!$C$1:$H$133,2,0)</f>
        <v>01.003</v>
      </c>
      <c r="AA96" s="48" t="str">
        <f t="shared" si="61"/>
        <v>Lương</v>
      </c>
      <c r="AB96" s="139">
        <v>2</v>
      </c>
      <c r="AC96" s="407" t="s">
        <v>359</v>
      </c>
      <c r="AD96" s="39">
        <v>9</v>
      </c>
      <c r="AE96" s="40">
        <f t="shared" si="62"/>
        <v>2.67</v>
      </c>
      <c r="AF96" s="329"/>
      <c r="AG96" s="102"/>
      <c r="AH96" s="396"/>
      <c r="AI96" s="445" t="s">
        <v>359</v>
      </c>
      <c r="AJ96" s="102"/>
      <c r="AK96" s="405" t="s">
        <v>359</v>
      </c>
      <c r="AL96" s="406"/>
      <c r="AM96" s="126"/>
      <c r="AN96" s="49"/>
      <c r="AO96" s="249">
        <f t="shared" si="100"/>
        <v>3</v>
      </c>
      <c r="AP96" s="185" t="str">
        <f t="shared" si="101"/>
        <v>/</v>
      </c>
      <c r="AQ96" s="80">
        <f t="shared" si="102"/>
        <v>9</v>
      </c>
      <c r="AR96" s="43">
        <f t="shared" si="103"/>
        <v>3</v>
      </c>
      <c r="AS96" s="333"/>
      <c r="AT96" s="44" t="s">
        <v>341</v>
      </c>
      <c r="AU96" s="404" t="s">
        <v>359</v>
      </c>
      <c r="AV96" s="45" t="s">
        <v>341</v>
      </c>
      <c r="AW96" s="395" t="s">
        <v>359</v>
      </c>
      <c r="AX96" s="46">
        <v>2021</v>
      </c>
      <c r="AY96" s="84"/>
      <c r="AZ96" s="191" t="s">
        <v>608</v>
      </c>
      <c r="BA96" s="392"/>
      <c r="BB96" s="47">
        <f t="shared" si="67"/>
        <v>3</v>
      </c>
      <c r="BC96" s="253">
        <f t="shared" si="68"/>
        <v>-24253</v>
      </c>
      <c r="BD96" s="205">
        <f>VLOOKUP(Y96,'- DLiêu Gốc -'!$C$1:$F$60,3,0)</f>
        <v>2.34</v>
      </c>
      <c r="BE96" s="205">
        <f>VLOOKUP(Y96,'- DLiêu Gốc -'!$C$1:$F$60,4,0)</f>
        <v>0.33</v>
      </c>
      <c r="BF96" s="53" t="str">
        <f t="shared" si="69"/>
        <v>o-o-o</v>
      </c>
      <c r="BG96" s="54"/>
      <c r="BH96" s="343"/>
      <c r="BI96" s="342"/>
      <c r="BJ96" s="400"/>
      <c r="BK96" s="336"/>
      <c r="BL96" s="400"/>
      <c r="BM96" s="101"/>
      <c r="BN96" s="126"/>
      <c r="BO96" s="58"/>
      <c r="BP96" s="55"/>
      <c r="BQ96" s="346"/>
      <c r="BR96" s="56"/>
      <c r="BS96" s="395"/>
      <c r="BT96" s="337"/>
      <c r="BU96" s="395"/>
      <c r="BV96" s="46"/>
      <c r="BW96" s="57"/>
      <c r="BX96" s="125"/>
      <c r="BY96" s="254" t="str">
        <f t="shared" si="70"/>
        <v>- - -</v>
      </c>
      <c r="BZ96" s="53" t="str">
        <f t="shared" si="71"/>
        <v>- - -</v>
      </c>
      <c r="CA96" s="316" t="str">
        <f t="shared" si="72"/>
        <v>Chánh Văn phòng Học viện, Trưởng Ban Tổ chức - Cán bộ, Trưởng Ban Tổ chức cán bộ</v>
      </c>
      <c r="CB96" s="59" t="str">
        <f t="shared" si="73"/>
        <v>A</v>
      </c>
      <c r="CC96" s="38" t="str">
        <f t="shared" si="74"/>
        <v>=&gt; s</v>
      </c>
      <c r="CD96" s="48">
        <f t="shared" si="75"/>
        <v>24277</v>
      </c>
      <c r="CE96" s="31" t="str">
        <f t="shared" si="76"/>
        <v>---</v>
      </c>
      <c r="CF96" s="31"/>
      <c r="CG96" s="303"/>
      <c r="CH96" s="31"/>
      <c r="CI96" s="93"/>
      <c r="CJ96" s="31" t="str">
        <f t="shared" si="77"/>
        <v>- - -</v>
      </c>
      <c r="CK96" s="51" t="str">
        <f t="shared" si="78"/>
        <v>- - -</v>
      </c>
      <c r="CL96" s="61"/>
      <c r="CM96" s="62"/>
      <c r="CN96" s="61"/>
      <c r="CO96" s="76"/>
      <c r="CP96" s="51" t="str">
        <f t="shared" si="79"/>
        <v>- - -</v>
      </c>
      <c r="CQ96" s="61"/>
      <c r="CR96" s="62"/>
      <c r="CS96" s="61"/>
      <c r="CT96" s="76"/>
      <c r="CU96" s="65" t="str">
        <f t="shared" si="80"/>
        <v>---</v>
      </c>
      <c r="CV96" s="66" t="str">
        <f t="shared" si="81"/>
        <v>/-/ /-/</v>
      </c>
      <c r="CW96" s="63">
        <f t="shared" si="82"/>
        <v>12</v>
      </c>
      <c r="CX96" s="64">
        <f t="shared" si="83"/>
        <v>2044</v>
      </c>
      <c r="CY96" s="63">
        <f t="shared" si="84"/>
        <v>9</v>
      </c>
      <c r="CZ96" s="64">
        <f t="shared" si="85"/>
        <v>2044</v>
      </c>
      <c r="DA96" s="63">
        <f t="shared" si="86"/>
        <v>6</v>
      </c>
      <c r="DB96" s="64">
        <f t="shared" si="87"/>
        <v>2044</v>
      </c>
      <c r="DC96" s="67" t="str">
        <f t="shared" si="88"/>
        <v>- - -</v>
      </c>
      <c r="DD96" s="68" t="str">
        <f t="shared" si="89"/>
        <v>. .</v>
      </c>
      <c r="DE96" s="68"/>
      <c r="DF96" s="48">
        <f t="shared" si="90"/>
        <v>660</v>
      </c>
      <c r="DG96" s="48">
        <f t="shared" si="91"/>
        <v>-23867</v>
      </c>
      <c r="DH96" s="48">
        <f t="shared" si="92"/>
        <v>-1989</v>
      </c>
      <c r="DI96" s="48" t="str">
        <f t="shared" si="93"/>
        <v>Nữ dưới 30</v>
      </c>
      <c r="DJ96" s="48"/>
      <c r="DK96" s="48"/>
      <c r="DL96" s="53" t="str">
        <f t="shared" si="94"/>
        <v>Đến 30</v>
      </c>
      <c r="DM96" s="61" t="str">
        <f t="shared" si="95"/>
        <v>--</v>
      </c>
      <c r="DN96" s="32"/>
      <c r="DO96" s="31"/>
      <c r="DP96" s="69"/>
      <c r="DQ96" s="32"/>
      <c r="DR96" s="76"/>
      <c r="DS96" s="77"/>
      <c r="DT96" s="78"/>
      <c r="DU96" s="71"/>
      <c r="DV96" s="95"/>
      <c r="DW96" s="33"/>
      <c r="DX96" s="315" t="s">
        <v>113</v>
      </c>
      <c r="DY96" s="33"/>
      <c r="DZ96" s="44"/>
      <c r="EA96" s="45"/>
      <c r="EB96" s="143"/>
      <c r="EC96" s="45"/>
      <c r="ED96" s="72"/>
      <c r="EE96" s="45">
        <f t="shared" si="96"/>
        <v>0</v>
      </c>
      <c r="EF96" s="73" t="str">
        <f t="shared" si="97"/>
        <v>- - -</v>
      </c>
      <c r="EG96" s="44"/>
      <c r="EH96" s="45"/>
      <c r="EI96" s="143"/>
      <c r="EJ96" s="45"/>
      <c r="EK96" s="72"/>
      <c r="EL96" s="31"/>
      <c r="EM96" s="51" t="str">
        <f t="shared" si="98"/>
        <v>- - -</v>
      </c>
      <c r="EN96" s="74" t="str">
        <f t="shared" si="99"/>
        <v>---</v>
      </c>
      <c r="EO96" s="84"/>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row>
    <row r="97" spans="1:174" s="75" customFormat="1" ht="11.25" customHeight="1" x14ac:dyDescent="0.2">
      <c r="A97" s="100">
        <v>378</v>
      </c>
      <c r="B97" s="296">
        <v>10</v>
      </c>
      <c r="C97" s="31"/>
      <c r="D97" s="31" t="str">
        <f t="shared" si="56"/>
        <v>Bà</v>
      </c>
      <c r="E97" s="37" t="s">
        <v>285</v>
      </c>
      <c r="F97" s="31" t="s">
        <v>380</v>
      </c>
      <c r="G97" s="60" t="s">
        <v>273</v>
      </c>
      <c r="H97" s="508" t="s">
        <v>359</v>
      </c>
      <c r="I97" s="60" t="s">
        <v>342</v>
      </c>
      <c r="J97" s="508" t="s">
        <v>359</v>
      </c>
      <c r="K97" s="37" t="s">
        <v>0</v>
      </c>
      <c r="L97" s="157" t="s">
        <v>451</v>
      </c>
      <c r="M97" s="526" t="str">
        <f t="shared" si="57"/>
        <v>VC</v>
      </c>
      <c r="N97" s="163"/>
      <c r="O97" s="509" t="e">
        <f t="shared" si="58"/>
        <v>#N/A</v>
      </c>
      <c r="P97" s="37"/>
      <c r="Q97" s="296" t="e">
        <f>VLOOKUP(P97,'- DLiêu Gốc -'!$C$2:$H$115,2,0)</f>
        <v>#N/A</v>
      </c>
      <c r="R97" s="190" t="s">
        <v>605</v>
      </c>
      <c r="S97" s="190" t="s">
        <v>563</v>
      </c>
      <c r="T97" s="35" t="str">
        <f>VLOOKUP(Y97,'- DLiêu Gốc -'!$C$2:$H$60,5,0)</f>
        <v>A1</v>
      </c>
      <c r="U97" s="36" t="str">
        <f>VLOOKUP(Y97,'- DLiêu Gốc -'!$C$2:$H$60,6,0)</f>
        <v>- - -</v>
      </c>
      <c r="V97" s="537" t="s">
        <v>425</v>
      </c>
      <c r="W97" s="295" t="str">
        <f t="shared" si="59"/>
        <v>Chuyên viên</v>
      </c>
      <c r="X97" s="298" t="str">
        <f t="shared" si="60"/>
        <v>01.003</v>
      </c>
      <c r="Y97" s="317" t="s">
        <v>339</v>
      </c>
      <c r="Z97" s="317" t="str">
        <f>VLOOKUP(Y97,'- DLiêu Gốc -'!$C$1:$H$133,2,0)</f>
        <v>01.003</v>
      </c>
      <c r="AA97" s="48" t="str">
        <f t="shared" si="61"/>
        <v>Lương</v>
      </c>
      <c r="AB97" s="139">
        <v>7</v>
      </c>
      <c r="AC97" s="407" t="s">
        <v>359</v>
      </c>
      <c r="AD97" s="39">
        <v>9</v>
      </c>
      <c r="AE97" s="40">
        <f t="shared" si="62"/>
        <v>4.32</v>
      </c>
      <c r="AF97" s="329"/>
      <c r="AG97" s="102"/>
      <c r="AH97" s="396"/>
      <c r="AI97" s="405" t="s">
        <v>359</v>
      </c>
      <c r="AJ97" s="102"/>
      <c r="AK97" s="405" t="s">
        <v>359</v>
      </c>
      <c r="AL97" s="406"/>
      <c r="AM97" s="126"/>
      <c r="AN97" s="49"/>
      <c r="AO97" s="249">
        <f t="shared" si="100"/>
        <v>8</v>
      </c>
      <c r="AP97" s="185" t="str">
        <f t="shared" si="101"/>
        <v>/</v>
      </c>
      <c r="AQ97" s="80">
        <f t="shared" si="102"/>
        <v>9</v>
      </c>
      <c r="AR97" s="43">
        <f t="shared" si="103"/>
        <v>4.6500000000000004</v>
      </c>
      <c r="AS97" s="333"/>
      <c r="AT97" s="44" t="s">
        <v>341</v>
      </c>
      <c r="AU97" s="395" t="s">
        <v>359</v>
      </c>
      <c r="AV97" s="45" t="s">
        <v>341</v>
      </c>
      <c r="AW97" s="395" t="s">
        <v>359</v>
      </c>
      <c r="AX97" s="46">
        <v>2021</v>
      </c>
      <c r="AY97" s="84"/>
      <c r="AZ97" s="383"/>
      <c r="BA97" s="392">
        <v>1.18</v>
      </c>
      <c r="BB97" s="47">
        <f t="shared" si="67"/>
        <v>3</v>
      </c>
      <c r="BC97" s="253">
        <f t="shared" si="68"/>
        <v>-24253</v>
      </c>
      <c r="BD97" s="205">
        <f>VLOOKUP(Y97,'- DLiêu Gốc -'!$C$1:$F$60,3,0)</f>
        <v>2.34</v>
      </c>
      <c r="BE97" s="205">
        <f>VLOOKUP(Y97,'- DLiêu Gốc -'!$C$1:$F$60,4,0)</f>
        <v>0.33</v>
      </c>
      <c r="BF97" s="53" t="str">
        <f t="shared" si="69"/>
        <v>o-o-o</v>
      </c>
      <c r="BG97" s="54"/>
      <c r="BH97" s="343"/>
      <c r="BI97" s="342"/>
      <c r="BJ97" s="400"/>
      <c r="BK97" s="336"/>
      <c r="BL97" s="400"/>
      <c r="BM97" s="101"/>
      <c r="BN97" s="126"/>
      <c r="BO97" s="58"/>
      <c r="BP97" s="55"/>
      <c r="BQ97" s="346"/>
      <c r="BR97" s="56"/>
      <c r="BS97" s="395"/>
      <c r="BT97" s="337"/>
      <c r="BU97" s="395"/>
      <c r="BV97" s="46"/>
      <c r="BW97" s="57"/>
      <c r="BX97" s="125"/>
      <c r="BY97" s="254" t="str">
        <f t="shared" si="70"/>
        <v>- - -</v>
      </c>
      <c r="BZ97" s="53" t="str">
        <f t="shared" si="71"/>
        <v>- - -</v>
      </c>
      <c r="CA97" s="316" t="str">
        <f t="shared" si="72"/>
        <v>Chánh Văn phòng Học viện, Trưởng Ban Tổ chức - Cán bộ, Trưởng Ban Quản lý bồi dưỡng</v>
      </c>
      <c r="CB97" s="59" t="str">
        <f t="shared" si="73"/>
        <v>A</v>
      </c>
      <c r="CC97" s="38" t="str">
        <f t="shared" si="74"/>
        <v>=&gt; s</v>
      </c>
      <c r="CD97" s="48">
        <f t="shared" si="75"/>
        <v>24277</v>
      </c>
      <c r="CE97" s="31" t="str">
        <f t="shared" si="76"/>
        <v>---</v>
      </c>
      <c r="CF97" s="31"/>
      <c r="CG97" s="303"/>
      <c r="CH97" s="31"/>
      <c r="CI97" s="31"/>
      <c r="CJ97" s="31" t="str">
        <f t="shared" si="77"/>
        <v>- - -</v>
      </c>
      <c r="CK97" s="51" t="str">
        <f t="shared" si="78"/>
        <v>- - -</v>
      </c>
      <c r="CL97" s="61"/>
      <c r="CM97" s="62"/>
      <c r="CN97" s="61"/>
      <c r="CO97" s="76"/>
      <c r="CP97" s="51" t="str">
        <f t="shared" si="79"/>
        <v>- - -</v>
      </c>
      <c r="CQ97" s="61"/>
      <c r="CR97" s="62"/>
      <c r="CS97" s="61"/>
      <c r="CT97" s="76"/>
      <c r="CU97" s="65" t="str">
        <f t="shared" si="80"/>
        <v>---</v>
      </c>
      <c r="CV97" s="66" t="str">
        <f t="shared" si="81"/>
        <v>/-/ /-/</v>
      </c>
      <c r="CW97" s="63">
        <f t="shared" si="82"/>
        <v>3</v>
      </c>
      <c r="CX97" s="64">
        <f t="shared" si="83"/>
        <v>2031</v>
      </c>
      <c r="CY97" s="63">
        <f t="shared" si="84"/>
        <v>12</v>
      </c>
      <c r="CZ97" s="64">
        <f t="shared" si="85"/>
        <v>2030</v>
      </c>
      <c r="DA97" s="63">
        <f t="shared" si="86"/>
        <v>9</v>
      </c>
      <c r="DB97" s="64">
        <f t="shared" si="87"/>
        <v>2030</v>
      </c>
      <c r="DC97" s="67" t="str">
        <f t="shared" si="88"/>
        <v>- - -</v>
      </c>
      <c r="DD97" s="68" t="str">
        <f t="shared" si="89"/>
        <v>. .</v>
      </c>
      <c r="DE97" s="68"/>
      <c r="DF97" s="48">
        <f t="shared" si="90"/>
        <v>660</v>
      </c>
      <c r="DG97" s="48">
        <f t="shared" si="91"/>
        <v>-23702</v>
      </c>
      <c r="DH97" s="48">
        <f t="shared" si="92"/>
        <v>-1976</v>
      </c>
      <c r="DI97" s="48" t="str">
        <f t="shared" si="93"/>
        <v>Nữ dưới 30</v>
      </c>
      <c r="DJ97" s="48"/>
      <c r="DK97" s="48"/>
      <c r="DL97" s="53" t="str">
        <f t="shared" si="94"/>
        <v>Đến 30</v>
      </c>
      <c r="DM97" s="61" t="str">
        <f t="shared" si="95"/>
        <v>TD</v>
      </c>
      <c r="DN97" s="32" t="s">
        <v>363</v>
      </c>
      <c r="DO97" s="82"/>
      <c r="DP97" s="69"/>
      <c r="DQ97" s="32"/>
      <c r="DR97" s="32"/>
      <c r="DS97" s="70"/>
      <c r="DT97" s="37"/>
      <c r="DU97" s="71"/>
      <c r="DV97" s="84"/>
      <c r="DW97" s="85" t="s">
        <v>367</v>
      </c>
      <c r="DX97" s="315" t="s">
        <v>106</v>
      </c>
      <c r="DY97" s="85" t="s">
        <v>367</v>
      </c>
      <c r="DZ97" s="44" t="s">
        <v>341</v>
      </c>
      <c r="EA97" s="45" t="s">
        <v>359</v>
      </c>
      <c r="EB97" s="45" t="s">
        <v>341</v>
      </c>
      <c r="EC97" s="45" t="s">
        <v>359</v>
      </c>
      <c r="ED97" s="72" t="s">
        <v>377</v>
      </c>
      <c r="EE97" s="45">
        <f t="shared" si="96"/>
        <v>0</v>
      </c>
      <c r="EF97" s="73" t="str">
        <f t="shared" si="97"/>
        <v>- - -</v>
      </c>
      <c r="EG97" s="44" t="s">
        <v>341</v>
      </c>
      <c r="EH97" s="45" t="s">
        <v>359</v>
      </c>
      <c r="EI97" s="45" t="s">
        <v>341</v>
      </c>
      <c r="EJ97" s="45" t="s">
        <v>359</v>
      </c>
      <c r="EK97" s="72" t="s">
        <v>377</v>
      </c>
      <c r="EL97" s="31"/>
      <c r="EM97" s="51" t="str">
        <f t="shared" si="98"/>
        <v>- - -</v>
      </c>
      <c r="EN97" s="74" t="str">
        <f t="shared" si="99"/>
        <v>---</v>
      </c>
      <c r="EO97" s="91"/>
    </row>
    <row r="98" spans="1:174" s="75" customFormat="1" ht="11.25" customHeight="1" x14ac:dyDescent="0.2">
      <c r="A98" s="100">
        <v>394</v>
      </c>
      <c r="B98" s="296">
        <v>26</v>
      </c>
      <c r="C98" s="31"/>
      <c r="D98" s="31" t="str">
        <f t="shared" si="56"/>
        <v>Ông</v>
      </c>
      <c r="E98" s="37" t="s">
        <v>306</v>
      </c>
      <c r="F98" s="31" t="s">
        <v>378</v>
      </c>
      <c r="G98" s="60" t="s">
        <v>276</v>
      </c>
      <c r="H98" s="508" t="s">
        <v>359</v>
      </c>
      <c r="I98" s="60" t="s">
        <v>348</v>
      </c>
      <c r="J98" s="508" t="s">
        <v>359</v>
      </c>
      <c r="K98" s="37" t="s">
        <v>324</v>
      </c>
      <c r="L98" s="157" t="s">
        <v>451</v>
      </c>
      <c r="M98" s="526" t="str">
        <f t="shared" si="57"/>
        <v>VC</v>
      </c>
      <c r="N98" s="163"/>
      <c r="O98" s="509" t="e">
        <f t="shared" si="58"/>
        <v>#N/A</v>
      </c>
      <c r="P98" s="37"/>
      <c r="Q98" s="296" t="e">
        <f>VLOOKUP(P98,'- DLiêu Gốc -'!$C$2:$H$115,2,0)</f>
        <v>#N/A</v>
      </c>
      <c r="R98" s="190" t="s">
        <v>605</v>
      </c>
      <c r="S98" s="190" t="s">
        <v>563</v>
      </c>
      <c r="T98" s="35" t="str">
        <f>VLOOKUP(Y98,'- DLiêu Gốc -'!$C$2:$H$60,5,0)</f>
        <v>A2</v>
      </c>
      <c r="U98" s="36" t="str">
        <f>VLOOKUP(Y98,'- DLiêu Gốc -'!$C$2:$H$60,6,0)</f>
        <v>A2.1</v>
      </c>
      <c r="V98" s="537" t="s">
        <v>425</v>
      </c>
      <c r="W98" s="295" t="str">
        <f t="shared" si="59"/>
        <v>Chuyên viên chính</v>
      </c>
      <c r="X98" s="298" t="str">
        <f t="shared" si="60"/>
        <v>01.002</v>
      </c>
      <c r="Y98" s="317" t="s">
        <v>351</v>
      </c>
      <c r="Z98" s="317" t="str">
        <f>VLOOKUP(Y98,'- DLiêu Gốc -'!$C$1:$H$133,2,0)</f>
        <v>01.002</v>
      </c>
      <c r="AA98" s="48" t="str">
        <f t="shared" si="61"/>
        <v>Lương</v>
      </c>
      <c r="AB98" s="139">
        <v>4</v>
      </c>
      <c r="AC98" s="407" t="s">
        <v>359</v>
      </c>
      <c r="AD98" s="39">
        <v>8</v>
      </c>
      <c r="AE98" s="40">
        <f t="shared" si="62"/>
        <v>5.42</v>
      </c>
      <c r="AF98" s="329"/>
      <c r="AG98" s="329"/>
      <c r="AH98" s="396"/>
      <c r="AI98" s="445" t="s">
        <v>359</v>
      </c>
      <c r="AJ98" s="102"/>
      <c r="AK98" s="405" t="s">
        <v>359</v>
      </c>
      <c r="AL98" s="406"/>
      <c r="AM98" s="126"/>
      <c r="AN98" s="49"/>
      <c r="AO98" s="249">
        <f t="shared" si="100"/>
        <v>5</v>
      </c>
      <c r="AP98" s="185" t="str">
        <f t="shared" si="101"/>
        <v>/</v>
      </c>
      <c r="AQ98" s="80">
        <f t="shared" si="102"/>
        <v>8</v>
      </c>
      <c r="AR98" s="43">
        <f t="shared" si="103"/>
        <v>5.76</v>
      </c>
      <c r="AS98" s="43"/>
      <c r="AT98" s="44" t="s">
        <v>341</v>
      </c>
      <c r="AU98" s="404" t="s">
        <v>359</v>
      </c>
      <c r="AV98" s="45" t="s">
        <v>341</v>
      </c>
      <c r="AW98" s="395" t="s">
        <v>359</v>
      </c>
      <c r="AX98" s="46">
        <v>2021</v>
      </c>
      <c r="AY98" s="84"/>
      <c r="AZ98" s="383"/>
      <c r="BA98" s="392">
        <v>1.18</v>
      </c>
      <c r="BB98" s="47">
        <f t="shared" si="67"/>
        <v>3</v>
      </c>
      <c r="BC98" s="253">
        <f t="shared" si="68"/>
        <v>-24253</v>
      </c>
      <c r="BD98" s="205">
        <f>VLOOKUP(Y98,'- DLiêu Gốc -'!$C$1:$F$60,3,0)</f>
        <v>4.4000000000000004</v>
      </c>
      <c r="BE98" s="205">
        <f>VLOOKUP(Y98,'- DLiêu Gốc -'!$C$1:$F$60,4,0)</f>
        <v>0.34</v>
      </c>
      <c r="BF98" s="53" t="str">
        <f t="shared" si="69"/>
        <v>o-o-o</v>
      </c>
      <c r="BG98" s="54"/>
      <c r="BH98" s="343"/>
      <c r="BI98" s="342"/>
      <c r="BJ98" s="400"/>
      <c r="BK98" s="336"/>
      <c r="BL98" s="400"/>
      <c r="BM98" s="101"/>
      <c r="BN98" s="126"/>
      <c r="BO98" s="58"/>
      <c r="BP98" s="55"/>
      <c r="BQ98" s="346"/>
      <c r="BR98" s="56"/>
      <c r="BS98" s="395"/>
      <c r="BT98" s="337"/>
      <c r="BU98" s="395"/>
      <c r="BV98" s="46"/>
      <c r="BW98" s="57"/>
      <c r="BX98" s="125"/>
      <c r="BY98" s="254" t="str">
        <f t="shared" si="70"/>
        <v>- - -</v>
      </c>
      <c r="BZ98" s="53" t="str">
        <f t="shared" si="71"/>
        <v>- - -</v>
      </c>
      <c r="CA98" s="316" t="str">
        <f t="shared" si="72"/>
        <v>Chánh Văn phòng Học viện, Trưởng Ban Tổ chức - Cán bộ, Trưởng Ban Quản lý bồi dưỡng</v>
      </c>
      <c r="CB98" s="59" t="str">
        <f t="shared" si="73"/>
        <v>A</v>
      </c>
      <c r="CC98" s="38" t="str">
        <f t="shared" si="74"/>
        <v>=&gt; s</v>
      </c>
      <c r="CD98" s="48">
        <f t="shared" si="75"/>
        <v>24277</v>
      </c>
      <c r="CE98" s="31" t="str">
        <f t="shared" si="76"/>
        <v>---</v>
      </c>
      <c r="CF98" s="31"/>
      <c r="CG98" s="303"/>
      <c r="CH98" s="31"/>
      <c r="CI98" s="31"/>
      <c r="CJ98" s="31" t="str">
        <f t="shared" si="77"/>
        <v>- - -</v>
      </c>
      <c r="CK98" s="51" t="str">
        <f t="shared" si="78"/>
        <v>NN</v>
      </c>
      <c r="CL98" s="61">
        <v>1</v>
      </c>
      <c r="CM98" s="62" t="s">
        <v>379</v>
      </c>
      <c r="CN98" s="61"/>
      <c r="CO98" s="76"/>
      <c r="CP98" s="51" t="str">
        <f t="shared" si="79"/>
        <v>- - -</v>
      </c>
      <c r="CQ98" s="61"/>
      <c r="CR98" s="62"/>
      <c r="CS98" s="61"/>
      <c r="CT98" s="76"/>
      <c r="CU98" s="65" t="str">
        <f t="shared" si="80"/>
        <v>---</v>
      </c>
      <c r="CV98" s="66" t="str">
        <f t="shared" si="81"/>
        <v>/-/ /-/</v>
      </c>
      <c r="CW98" s="63">
        <f t="shared" si="82"/>
        <v>10</v>
      </c>
      <c r="CX98" s="64">
        <f t="shared" si="83"/>
        <v>2029</v>
      </c>
      <c r="CY98" s="63">
        <f t="shared" si="84"/>
        <v>7</v>
      </c>
      <c r="CZ98" s="64">
        <f t="shared" si="85"/>
        <v>2029</v>
      </c>
      <c r="DA98" s="63">
        <f t="shared" si="86"/>
        <v>4</v>
      </c>
      <c r="DB98" s="64">
        <f t="shared" si="87"/>
        <v>2029</v>
      </c>
      <c r="DC98" s="67" t="str">
        <f t="shared" si="88"/>
        <v>- - -</v>
      </c>
      <c r="DD98" s="68" t="str">
        <f t="shared" si="89"/>
        <v>. .</v>
      </c>
      <c r="DE98" s="68"/>
      <c r="DF98" s="48">
        <f t="shared" si="90"/>
        <v>720</v>
      </c>
      <c r="DG98" s="48">
        <f t="shared" si="91"/>
        <v>-23625</v>
      </c>
      <c r="DH98" s="48">
        <f t="shared" si="92"/>
        <v>-1969</v>
      </c>
      <c r="DI98" s="48" t="str">
        <f t="shared" si="93"/>
        <v>Nam dưới 35</v>
      </c>
      <c r="DJ98" s="298"/>
      <c r="DK98" s="48"/>
      <c r="DL98" s="53" t="str">
        <f t="shared" si="94"/>
        <v>Đến 30</v>
      </c>
      <c r="DM98" s="61" t="str">
        <f t="shared" si="95"/>
        <v>--</v>
      </c>
      <c r="DN98" s="32"/>
      <c r="DO98" s="31"/>
      <c r="DP98" s="69"/>
      <c r="DQ98" s="32"/>
      <c r="DR98" s="76"/>
      <c r="DS98" s="77"/>
      <c r="DT98" s="78"/>
      <c r="DU98" s="71"/>
      <c r="DV98" s="84"/>
      <c r="DW98" s="33" t="s">
        <v>364</v>
      </c>
      <c r="DX98" s="315" t="s">
        <v>106</v>
      </c>
      <c r="DY98" s="33" t="s">
        <v>364</v>
      </c>
      <c r="DZ98" s="148" t="s">
        <v>341</v>
      </c>
      <c r="EA98" s="45" t="s">
        <v>359</v>
      </c>
      <c r="EB98" s="143" t="s">
        <v>341</v>
      </c>
      <c r="EC98" s="45" t="s">
        <v>359</v>
      </c>
      <c r="ED98" s="72" t="s">
        <v>377</v>
      </c>
      <c r="EE98" s="45">
        <f t="shared" si="96"/>
        <v>0</v>
      </c>
      <c r="EF98" s="73" t="str">
        <f t="shared" si="97"/>
        <v>- - -</v>
      </c>
      <c r="EG98" s="148" t="s">
        <v>341</v>
      </c>
      <c r="EH98" s="45" t="s">
        <v>359</v>
      </c>
      <c r="EI98" s="143" t="s">
        <v>341</v>
      </c>
      <c r="EJ98" s="45" t="s">
        <v>359</v>
      </c>
      <c r="EK98" s="72" t="s">
        <v>377</v>
      </c>
      <c r="EL98" s="81">
        <v>3.99</v>
      </c>
      <c r="EM98" s="51" t="str">
        <f t="shared" si="98"/>
        <v>- - -</v>
      </c>
      <c r="EN98" s="74" t="str">
        <f t="shared" si="99"/>
        <v>---</v>
      </c>
      <c r="EO98" s="84"/>
      <c r="EP98" s="94"/>
      <c r="EQ98" s="94"/>
      <c r="ER98" s="94"/>
      <c r="ES98" s="94"/>
      <c r="ET98" s="94"/>
      <c r="EU98" s="94"/>
      <c r="EV98" s="94"/>
      <c r="EW98" s="94"/>
      <c r="EX98" s="94"/>
      <c r="EY98" s="94"/>
      <c r="EZ98" s="94"/>
      <c r="FA98" s="94"/>
      <c r="FB98" s="94"/>
      <c r="FC98" s="94"/>
      <c r="FD98" s="94"/>
      <c r="FE98" s="94"/>
      <c r="FF98" s="94"/>
      <c r="FG98" s="94"/>
      <c r="FH98" s="94"/>
      <c r="FI98" s="94"/>
      <c r="FJ98" s="94"/>
      <c r="FK98" s="94"/>
      <c r="FL98" s="94"/>
      <c r="FM98" s="554"/>
    </row>
    <row r="99" spans="1:174" s="75" customFormat="1" ht="11.25" customHeight="1" x14ac:dyDescent="0.2">
      <c r="A99" s="100">
        <v>396</v>
      </c>
      <c r="B99" s="296">
        <v>28</v>
      </c>
      <c r="C99" s="31"/>
      <c r="D99" s="31" t="str">
        <f t="shared" si="56"/>
        <v>Bà</v>
      </c>
      <c r="E99" s="37" t="s">
        <v>302</v>
      </c>
      <c r="F99" s="31" t="s">
        <v>380</v>
      </c>
      <c r="G99" s="60" t="s">
        <v>350</v>
      </c>
      <c r="H99" s="508" t="s">
        <v>359</v>
      </c>
      <c r="I99" s="60" t="s">
        <v>342</v>
      </c>
      <c r="J99" s="508" t="s">
        <v>359</v>
      </c>
      <c r="K99" s="37">
        <v>1981</v>
      </c>
      <c r="L99" s="157" t="s">
        <v>451</v>
      </c>
      <c r="M99" s="526" t="str">
        <f t="shared" si="57"/>
        <v>VC</v>
      </c>
      <c r="N99" s="163"/>
      <c r="O99" s="509" t="e">
        <f t="shared" si="58"/>
        <v>#N/A</v>
      </c>
      <c r="P99" s="37"/>
      <c r="Q99" s="296" t="e">
        <f>VLOOKUP(P99,'- DLiêu Gốc -'!$C$2:$H$115,2,0)</f>
        <v>#N/A</v>
      </c>
      <c r="R99" s="190" t="s">
        <v>605</v>
      </c>
      <c r="S99" s="190" t="s">
        <v>563</v>
      </c>
      <c r="T99" s="35" t="str">
        <f>VLOOKUP(Y99,'- DLiêu Gốc -'!$C$2:$H$60,5,0)</f>
        <v>A1</v>
      </c>
      <c r="U99" s="36" t="str">
        <f>VLOOKUP(Y99,'- DLiêu Gốc -'!$C$2:$H$60,6,0)</f>
        <v>- - -</v>
      </c>
      <c r="V99" s="537" t="s">
        <v>425</v>
      </c>
      <c r="W99" s="295" t="str">
        <f t="shared" si="59"/>
        <v>Chuyên viên</v>
      </c>
      <c r="X99" s="298" t="str">
        <f t="shared" si="60"/>
        <v>01.003</v>
      </c>
      <c r="Y99" s="317" t="s">
        <v>339</v>
      </c>
      <c r="Z99" s="317" t="str">
        <f>VLOOKUP(Y99,'- DLiêu Gốc -'!$C$1:$H$133,2,0)</f>
        <v>01.003</v>
      </c>
      <c r="AA99" s="48" t="str">
        <f t="shared" si="61"/>
        <v>Lương</v>
      </c>
      <c r="AB99" s="117">
        <v>5</v>
      </c>
      <c r="AC99" s="407" t="s">
        <v>359</v>
      </c>
      <c r="AD99" s="39">
        <v>9</v>
      </c>
      <c r="AE99" s="40">
        <f t="shared" si="62"/>
        <v>3.66</v>
      </c>
      <c r="AF99" s="329"/>
      <c r="AG99" s="329"/>
      <c r="AH99" s="396"/>
      <c r="AI99" s="405" t="s">
        <v>359</v>
      </c>
      <c r="AJ99" s="102"/>
      <c r="AK99" s="405" t="s">
        <v>359</v>
      </c>
      <c r="AL99" s="406"/>
      <c r="AM99" s="126"/>
      <c r="AN99" s="49"/>
      <c r="AO99" s="249">
        <f t="shared" si="100"/>
        <v>6</v>
      </c>
      <c r="AP99" s="185" t="str">
        <f t="shared" si="101"/>
        <v>/</v>
      </c>
      <c r="AQ99" s="80">
        <f t="shared" si="102"/>
        <v>9</v>
      </c>
      <c r="AR99" s="43">
        <f t="shared" si="103"/>
        <v>3.99</v>
      </c>
      <c r="AS99" s="333"/>
      <c r="AT99" s="44" t="s">
        <v>341</v>
      </c>
      <c r="AU99" s="395" t="s">
        <v>359</v>
      </c>
      <c r="AV99" s="45" t="s">
        <v>341</v>
      </c>
      <c r="AW99" s="395" t="s">
        <v>359</v>
      </c>
      <c r="AX99" s="46">
        <v>2021</v>
      </c>
      <c r="AY99" s="84"/>
      <c r="AZ99" s="191"/>
      <c r="BA99" s="392">
        <v>1.18</v>
      </c>
      <c r="BB99" s="47">
        <f t="shared" si="67"/>
        <v>3</v>
      </c>
      <c r="BC99" s="253">
        <f t="shared" si="68"/>
        <v>-24253</v>
      </c>
      <c r="BD99" s="205">
        <f>VLOOKUP(Y99,'- DLiêu Gốc -'!$C$1:$F$60,3,0)</f>
        <v>2.34</v>
      </c>
      <c r="BE99" s="205">
        <f>VLOOKUP(Y99,'- DLiêu Gốc -'!$C$1:$F$60,4,0)</f>
        <v>0.33</v>
      </c>
      <c r="BF99" s="53" t="str">
        <f t="shared" si="69"/>
        <v>o-o-o</v>
      </c>
      <c r="BG99" s="54"/>
      <c r="BH99" s="343"/>
      <c r="BI99" s="342"/>
      <c r="BJ99" s="400"/>
      <c r="BK99" s="336"/>
      <c r="BL99" s="400"/>
      <c r="BM99" s="101"/>
      <c r="BN99" s="126"/>
      <c r="BO99" s="58"/>
      <c r="BP99" s="55"/>
      <c r="BQ99" s="346"/>
      <c r="BR99" s="56"/>
      <c r="BS99" s="395"/>
      <c r="BT99" s="337"/>
      <c r="BU99" s="395"/>
      <c r="BV99" s="46"/>
      <c r="BW99" s="57"/>
      <c r="BX99" s="125"/>
      <c r="BY99" s="254" t="str">
        <f t="shared" si="70"/>
        <v>- - -</v>
      </c>
      <c r="BZ99" s="53" t="str">
        <f t="shared" si="71"/>
        <v>- - -</v>
      </c>
      <c r="CA99" s="316" t="str">
        <f t="shared" si="72"/>
        <v>Chánh Văn phòng Học viện, Trưởng Ban Tổ chức - Cán bộ, Trưởng Ban Quản lý bồi dưỡng</v>
      </c>
      <c r="CB99" s="59" t="str">
        <f t="shared" si="73"/>
        <v>A</v>
      </c>
      <c r="CC99" s="38" t="str">
        <f t="shared" si="74"/>
        <v>=&gt; s</v>
      </c>
      <c r="CD99" s="48">
        <f t="shared" si="75"/>
        <v>24277</v>
      </c>
      <c r="CE99" s="31" t="str">
        <f t="shared" si="76"/>
        <v>---</v>
      </c>
      <c r="CF99" s="31"/>
      <c r="CG99" s="303"/>
      <c r="CH99" s="31"/>
      <c r="CI99" s="31"/>
      <c r="CJ99" s="31" t="str">
        <f t="shared" si="77"/>
        <v>- - -</v>
      </c>
      <c r="CK99" s="51" t="str">
        <f t="shared" si="78"/>
        <v>- - -</v>
      </c>
      <c r="CL99" s="61"/>
      <c r="CM99" s="62"/>
      <c r="CN99" s="61"/>
      <c r="CO99" s="76"/>
      <c r="CP99" s="51" t="str">
        <f t="shared" si="79"/>
        <v>- - -</v>
      </c>
      <c r="CQ99" s="61"/>
      <c r="CR99" s="62"/>
      <c r="CS99" s="61"/>
      <c r="CT99" s="76"/>
      <c r="CU99" s="65" t="str">
        <f t="shared" si="80"/>
        <v>---</v>
      </c>
      <c r="CV99" s="66" t="str">
        <f t="shared" si="81"/>
        <v>/-/ /-/</v>
      </c>
      <c r="CW99" s="63">
        <f t="shared" si="82"/>
        <v>3</v>
      </c>
      <c r="CX99" s="64">
        <f t="shared" si="83"/>
        <v>2036</v>
      </c>
      <c r="CY99" s="63">
        <f t="shared" si="84"/>
        <v>12</v>
      </c>
      <c r="CZ99" s="64">
        <f t="shared" si="85"/>
        <v>2035</v>
      </c>
      <c r="DA99" s="63">
        <f t="shared" si="86"/>
        <v>9</v>
      </c>
      <c r="DB99" s="64">
        <f t="shared" si="87"/>
        <v>2035</v>
      </c>
      <c r="DC99" s="67" t="str">
        <f t="shared" si="88"/>
        <v>- - -</v>
      </c>
      <c r="DD99" s="68" t="str">
        <f t="shared" si="89"/>
        <v>. .</v>
      </c>
      <c r="DE99" s="68"/>
      <c r="DF99" s="48">
        <f t="shared" si="90"/>
        <v>660</v>
      </c>
      <c r="DG99" s="48">
        <f t="shared" si="91"/>
        <v>-23762</v>
      </c>
      <c r="DH99" s="48">
        <f t="shared" si="92"/>
        <v>-1981</v>
      </c>
      <c r="DI99" s="48" t="str">
        <f t="shared" si="93"/>
        <v>Nữ dưới 30</v>
      </c>
      <c r="DJ99" s="48"/>
      <c r="DK99" s="48"/>
      <c r="DL99" s="53" t="str">
        <f t="shared" si="94"/>
        <v>Đến 30</v>
      </c>
      <c r="DM99" s="61" t="str">
        <f t="shared" si="95"/>
        <v>TD</v>
      </c>
      <c r="DN99" s="32">
        <v>2012</v>
      </c>
      <c r="DO99" s="82"/>
      <c r="DP99" s="52"/>
      <c r="DQ99" s="76"/>
      <c r="DR99" s="32"/>
      <c r="DS99" s="70"/>
      <c r="DT99" s="37"/>
      <c r="DU99" s="71"/>
      <c r="DV99" s="84"/>
      <c r="DW99" s="33" t="s">
        <v>364</v>
      </c>
      <c r="DX99" s="315" t="s">
        <v>106</v>
      </c>
      <c r="DY99" s="33" t="s">
        <v>364</v>
      </c>
      <c r="DZ99" s="44" t="s">
        <v>341</v>
      </c>
      <c r="EA99" s="45" t="s">
        <v>359</v>
      </c>
      <c r="EB99" s="45" t="s">
        <v>341</v>
      </c>
      <c r="EC99" s="45" t="s">
        <v>359</v>
      </c>
      <c r="ED99" s="72">
        <v>2012</v>
      </c>
      <c r="EE99" s="45">
        <f t="shared" si="96"/>
        <v>0</v>
      </c>
      <c r="EF99" s="73" t="str">
        <f t="shared" si="97"/>
        <v>- - -</v>
      </c>
      <c r="EG99" s="44" t="s">
        <v>341</v>
      </c>
      <c r="EH99" s="45" t="s">
        <v>359</v>
      </c>
      <c r="EI99" s="45" t="s">
        <v>341</v>
      </c>
      <c r="EJ99" s="45" t="s">
        <v>359</v>
      </c>
      <c r="EK99" s="72">
        <v>2012</v>
      </c>
      <c r="EL99" s="31"/>
      <c r="EM99" s="51" t="str">
        <f t="shared" si="98"/>
        <v>- - -</v>
      </c>
      <c r="EN99" s="74" t="str">
        <f t="shared" si="99"/>
        <v>---</v>
      </c>
      <c r="EO99" s="84"/>
    </row>
    <row r="100" spans="1:174" s="75" customFormat="1" ht="11.25" customHeight="1" x14ac:dyDescent="0.2">
      <c r="A100" s="100">
        <v>400</v>
      </c>
      <c r="B100" s="296">
        <v>32</v>
      </c>
      <c r="C100" s="31"/>
      <c r="D100" s="31" t="str">
        <f t="shared" si="56"/>
        <v>Bà</v>
      </c>
      <c r="E100" s="37" t="s">
        <v>303</v>
      </c>
      <c r="F100" s="31" t="s">
        <v>380</v>
      </c>
      <c r="G100" s="60" t="s">
        <v>283</v>
      </c>
      <c r="H100" s="508" t="s">
        <v>359</v>
      </c>
      <c r="I100" s="60" t="s">
        <v>343</v>
      </c>
      <c r="J100" s="508" t="s">
        <v>359</v>
      </c>
      <c r="K100" s="37">
        <v>1982</v>
      </c>
      <c r="L100" s="157" t="s">
        <v>434</v>
      </c>
      <c r="M100" s="526" t="str">
        <f t="shared" si="57"/>
        <v>NLĐ</v>
      </c>
      <c r="N100" s="163"/>
      <c r="O100" s="509" t="e">
        <f t="shared" si="58"/>
        <v>#N/A</v>
      </c>
      <c r="P100" s="37"/>
      <c r="Q100" s="296" t="e">
        <f>VLOOKUP(P100,'- DLiêu Gốc -'!$C$2:$H$115,2,0)</f>
        <v>#N/A</v>
      </c>
      <c r="R100" s="190" t="s">
        <v>605</v>
      </c>
      <c r="S100" s="190" t="s">
        <v>563</v>
      </c>
      <c r="T100" s="35" t="str">
        <f>VLOOKUP(Y100,'- DLiêu Gốc -'!$C$2:$H$60,5,0)</f>
        <v>A1</v>
      </c>
      <c r="U100" s="36" t="str">
        <f>VLOOKUP(Y100,'- DLiêu Gốc -'!$C$2:$H$60,6,0)</f>
        <v>- - -</v>
      </c>
      <c r="V100" s="537" t="s">
        <v>425</v>
      </c>
      <c r="W100" s="295" t="str">
        <f t="shared" si="59"/>
        <v>Chuyên viên</v>
      </c>
      <c r="X100" s="298" t="str">
        <f t="shared" si="60"/>
        <v>01.003</v>
      </c>
      <c r="Y100" s="317" t="s">
        <v>339</v>
      </c>
      <c r="Z100" s="317" t="str">
        <f>VLOOKUP(Y100,'- DLiêu Gốc -'!$C$1:$H$133,2,0)</f>
        <v>01.003</v>
      </c>
      <c r="AA100" s="48" t="str">
        <f t="shared" si="61"/>
        <v>Lương</v>
      </c>
      <c r="AB100" s="139">
        <v>5</v>
      </c>
      <c r="AC100" s="407" t="s">
        <v>359</v>
      </c>
      <c r="AD100" s="39">
        <v>9</v>
      </c>
      <c r="AE100" s="40">
        <f t="shared" si="62"/>
        <v>3.66</v>
      </c>
      <c r="AF100" s="329"/>
      <c r="AG100" s="102"/>
      <c r="AH100" s="396"/>
      <c r="AI100" s="445" t="s">
        <v>359</v>
      </c>
      <c r="AJ100" s="102"/>
      <c r="AK100" s="405" t="s">
        <v>359</v>
      </c>
      <c r="AL100" s="406"/>
      <c r="AM100" s="126"/>
      <c r="AN100" s="49"/>
      <c r="AO100" s="249">
        <f t="shared" si="100"/>
        <v>6</v>
      </c>
      <c r="AP100" s="185" t="str">
        <f t="shared" si="101"/>
        <v>/</v>
      </c>
      <c r="AQ100" s="80">
        <f t="shared" si="102"/>
        <v>9</v>
      </c>
      <c r="AR100" s="43">
        <f t="shared" si="103"/>
        <v>3.99</v>
      </c>
      <c r="AS100" s="333"/>
      <c r="AT100" s="44" t="s">
        <v>341</v>
      </c>
      <c r="AU100" s="404" t="s">
        <v>359</v>
      </c>
      <c r="AV100" s="45" t="s">
        <v>341</v>
      </c>
      <c r="AW100" s="395" t="s">
        <v>359</v>
      </c>
      <c r="AX100" s="46">
        <v>2021</v>
      </c>
      <c r="AY100" s="84"/>
      <c r="AZ100" s="383"/>
      <c r="BA100" s="392">
        <v>1.18</v>
      </c>
      <c r="BB100" s="47">
        <f t="shared" si="67"/>
        <v>3</v>
      </c>
      <c r="BC100" s="253">
        <f t="shared" si="68"/>
        <v>-24253</v>
      </c>
      <c r="BD100" s="205">
        <f>VLOOKUP(Y100,'- DLiêu Gốc -'!$C$1:$F$60,3,0)</f>
        <v>2.34</v>
      </c>
      <c r="BE100" s="205">
        <f>VLOOKUP(Y100,'- DLiêu Gốc -'!$C$1:$F$60,4,0)</f>
        <v>0.33</v>
      </c>
      <c r="BF100" s="53" t="str">
        <f t="shared" si="69"/>
        <v>o-o-o</v>
      </c>
      <c r="BG100" s="54"/>
      <c r="BH100" s="343"/>
      <c r="BI100" s="342"/>
      <c r="BJ100" s="400"/>
      <c r="BK100" s="336"/>
      <c r="BL100" s="400"/>
      <c r="BM100" s="101"/>
      <c r="BN100" s="126"/>
      <c r="BO100" s="58"/>
      <c r="BP100" s="55"/>
      <c r="BQ100" s="346"/>
      <c r="BR100" s="56"/>
      <c r="BS100" s="395"/>
      <c r="BT100" s="337"/>
      <c r="BU100" s="395"/>
      <c r="BV100" s="46"/>
      <c r="BW100" s="57"/>
      <c r="BX100" s="125"/>
      <c r="BY100" s="254" t="str">
        <f t="shared" si="70"/>
        <v>- - -</v>
      </c>
      <c r="BZ100" s="53" t="str">
        <f t="shared" si="71"/>
        <v>- - -</v>
      </c>
      <c r="CA100" s="316" t="str">
        <f t="shared" si="72"/>
        <v>Chánh Văn phòng Học viện, Trưởng Ban Tổ chức - Cán bộ, Trưởng Ban Quản lý bồi dưỡng</v>
      </c>
      <c r="CB100" s="59" t="str">
        <f t="shared" si="73"/>
        <v>A</v>
      </c>
      <c r="CC100" s="38" t="str">
        <f t="shared" si="74"/>
        <v>=&gt; s</v>
      </c>
      <c r="CD100" s="48">
        <f t="shared" si="75"/>
        <v>24277</v>
      </c>
      <c r="CE100" s="31" t="str">
        <f t="shared" si="76"/>
        <v>---</v>
      </c>
      <c r="CF100" s="31"/>
      <c r="CG100" s="303"/>
      <c r="CH100" s="31"/>
      <c r="CI100" s="31"/>
      <c r="CJ100" s="31" t="str">
        <f t="shared" si="77"/>
        <v>- - -</v>
      </c>
      <c r="CK100" s="51" t="str">
        <f t="shared" si="78"/>
        <v>- - -</v>
      </c>
      <c r="CL100" s="61"/>
      <c r="CM100" s="62"/>
      <c r="CN100" s="61"/>
      <c r="CO100" s="76"/>
      <c r="CP100" s="51" t="str">
        <f t="shared" si="79"/>
        <v>- - -</v>
      </c>
      <c r="CQ100" s="61"/>
      <c r="CR100" s="62"/>
      <c r="CS100" s="61"/>
      <c r="CT100" s="76"/>
      <c r="CU100" s="65" t="str">
        <f t="shared" si="80"/>
        <v>---</v>
      </c>
      <c r="CV100" s="66" t="str">
        <f t="shared" si="81"/>
        <v>/-/ /-/</v>
      </c>
      <c r="CW100" s="63">
        <f t="shared" si="82"/>
        <v>6</v>
      </c>
      <c r="CX100" s="64">
        <f t="shared" si="83"/>
        <v>2037</v>
      </c>
      <c r="CY100" s="63">
        <f t="shared" si="84"/>
        <v>3</v>
      </c>
      <c r="CZ100" s="64">
        <f t="shared" si="85"/>
        <v>2037</v>
      </c>
      <c r="DA100" s="63">
        <f t="shared" si="86"/>
        <v>12</v>
      </c>
      <c r="DB100" s="64">
        <f t="shared" si="87"/>
        <v>2036</v>
      </c>
      <c r="DC100" s="67" t="str">
        <f t="shared" si="88"/>
        <v>- - -</v>
      </c>
      <c r="DD100" s="68" t="str">
        <f t="shared" si="89"/>
        <v>. .</v>
      </c>
      <c r="DE100" s="68"/>
      <c r="DF100" s="48">
        <f t="shared" si="90"/>
        <v>660</v>
      </c>
      <c r="DG100" s="48">
        <f t="shared" si="91"/>
        <v>-23777</v>
      </c>
      <c r="DH100" s="48">
        <f t="shared" si="92"/>
        <v>-1982</v>
      </c>
      <c r="DI100" s="48" t="str">
        <f t="shared" si="93"/>
        <v>Nữ dưới 30</v>
      </c>
      <c r="DJ100" s="48"/>
      <c r="DK100" s="48"/>
      <c r="DL100" s="53" t="str">
        <f t="shared" si="94"/>
        <v>Đến 30</v>
      </c>
      <c r="DM100" s="61" t="str">
        <f t="shared" si="95"/>
        <v>--</v>
      </c>
      <c r="DN100" s="32"/>
      <c r="DO100" s="82"/>
      <c r="DP100" s="69"/>
      <c r="DQ100" s="32"/>
      <c r="DR100" s="32"/>
      <c r="DS100" s="70"/>
      <c r="DT100" s="37"/>
      <c r="DU100" s="71"/>
      <c r="DV100" s="84"/>
      <c r="DW100" s="33" t="s">
        <v>364</v>
      </c>
      <c r="DX100" s="315" t="s">
        <v>106</v>
      </c>
      <c r="DY100" s="33" t="s">
        <v>364</v>
      </c>
      <c r="DZ100" s="148" t="s">
        <v>341</v>
      </c>
      <c r="EA100" s="45" t="s">
        <v>359</v>
      </c>
      <c r="EB100" s="143" t="s">
        <v>341</v>
      </c>
      <c r="EC100" s="45" t="s">
        <v>359</v>
      </c>
      <c r="ED100" s="72">
        <v>2012</v>
      </c>
      <c r="EE100" s="45">
        <f t="shared" si="96"/>
        <v>0</v>
      </c>
      <c r="EF100" s="73" t="str">
        <f t="shared" si="97"/>
        <v>- - -</v>
      </c>
      <c r="EG100" s="148" t="s">
        <v>341</v>
      </c>
      <c r="EH100" s="45" t="s">
        <v>359</v>
      </c>
      <c r="EI100" s="143" t="s">
        <v>341</v>
      </c>
      <c r="EJ100" s="45" t="s">
        <v>359</v>
      </c>
      <c r="EK100" s="72">
        <v>2012</v>
      </c>
      <c r="EL100" s="31"/>
      <c r="EM100" s="51" t="str">
        <f t="shared" si="98"/>
        <v>- - -</v>
      </c>
      <c r="EN100" s="74" t="str">
        <f t="shared" si="99"/>
        <v>---</v>
      </c>
      <c r="EO100" s="84"/>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row>
    <row r="101" spans="1:174" s="171" customFormat="1" ht="11.25" customHeight="1" x14ac:dyDescent="0.25">
      <c r="A101" s="100">
        <v>429</v>
      </c>
      <c r="B101" s="296">
        <v>442</v>
      </c>
      <c r="C101" s="31"/>
      <c r="D101" s="31" t="str">
        <f t="shared" si="56"/>
        <v>Ông</v>
      </c>
      <c r="E101" s="37" t="s">
        <v>284</v>
      </c>
      <c r="F101" s="31" t="s">
        <v>378</v>
      </c>
      <c r="G101" s="60" t="s">
        <v>266</v>
      </c>
      <c r="H101" s="508" t="s">
        <v>359</v>
      </c>
      <c r="I101" s="60" t="s">
        <v>345</v>
      </c>
      <c r="J101" s="508" t="s">
        <v>359</v>
      </c>
      <c r="K101" s="37">
        <v>1970</v>
      </c>
      <c r="L101" s="157" t="s">
        <v>451</v>
      </c>
      <c r="M101" s="526" t="str">
        <f t="shared" si="57"/>
        <v>VC</v>
      </c>
      <c r="N101" s="163"/>
      <c r="O101" s="509" t="str">
        <f t="shared" si="58"/>
        <v>CVụ</v>
      </c>
      <c r="P101" s="37" t="s">
        <v>243</v>
      </c>
      <c r="Q101" s="296" t="str">
        <f>VLOOKUP(P101,'[1]- DLiêu Gốc (Không sửa)'!$C$2:$H$116,2,0)</f>
        <v>0,6</v>
      </c>
      <c r="R101" s="37" t="s">
        <v>639</v>
      </c>
      <c r="S101" s="190" t="s">
        <v>567</v>
      </c>
      <c r="T101" s="35" t="str">
        <f>VLOOKUP(Y101,'- DLiêu Gốc -'!$C$2:$H$60,5,0)</f>
        <v>A2</v>
      </c>
      <c r="U101" s="36" t="str">
        <f>VLOOKUP(Y101,'- DLiêu Gốc -'!$C$2:$H$60,6,0)</f>
        <v>A2.1</v>
      </c>
      <c r="V101" s="537" t="s">
        <v>425</v>
      </c>
      <c r="W101" s="295" t="str">
        <f t="shared" si="59"/>
        <v>Chuyên viên chính</v>
      </c>
      <c r="X101" s="298" t="str">
        <f t="shared" si="60"/>
        <v>01.002</v>
      </c>
      <c r="Y101" s="317" t="s">
        <v>351</v>
      </c>
      <c r="Z101" s="317" t="str">
        <f>VLOOKUP(Y101,'- DLiêu Gốc -'!$C$1:$H$133,2,0)</f>
        <v>01.002</v>
      </c>
      <c r="AA101" s="48" t="str">
        <f t="shared" si="61"/>
        <v>Lương</v>
      </c>
      <c r="AB101" s="1315">
        <v>4</v>
      </c>
      <c r="AC101" s="407" t="s">
        <v>359</v>
      </c>
      <c r="AD101" s="39">
        <v>8</v>
      </c>
      <c r="AE101" s="40">
        <f t="shared" si="62"/>
        <v>5.42</v>
      </c>
      <c r="AF101" s="329"/>
      <c r="AG101" s="102"/>
      <c r="AH101" s="396"/>
      <c r="AI101" s="405" t="s">
        <v>359</v>
      </c>
      <c r="AJ101" s="102"/>
      <c r="AK101" s="405" t="s">
        <v>359</v>
      </c>
      <c r="AL101" s="406"/>
      <c r="AM101" s="126"/>
      <c r="AN101" s="49"/>
      <c r="AO101" s="249">
        <f t="shared" si="100"/>
        <v>5</v>
      </c>
      <c r="AP101" s="185" t="str">
        <f t="shared" si="101"/>
        <v>/</v>
      </c>
      <c r="AQ101" s="80">
        <f t="shared" si="102"/>
        <v>8</v>
      </c>
      <c r="AR101" s="43">
        <f t="shared" si="103"/>
        <v>5.76</v>
      </c>
      <c r="AS101" s="333"/>
      <c r="AT101" s="44" t="s">
        <v>341</v>
      </c>
      <c r="AU101" s="395" t="s">
        <v>359</v>
      </c>
      <c r="AV101" s="45" t="s">
        <v>341</v>
      </c>
      <c r="AW101" s="395" t="s">
        <v>359</v>
      </c>
      <c r="AX101" s="46">
        <v>2021</v>
      </c>
      <c r="AY101" s="84"/>
      <c r="AZ101" s="383"/>
      <c r="BA101" s="392">
        <v>1.18</v>
      </c>
      <c r="BB101" s="47">
        <f t="shared" si="67"/>
        <v>3</v>
      </c>
      <c r="BC101" s="253">
        <f t="shared" si="68"/>
        <v>-24253</v>
      </c>
      <c r="BD101" s="205">
        <f>VLOOKUP(Y101,'- DLiêu Gốc -'!$C$1:$F$60,3,0)</f>
        <v>4.4000000000000004</v>
      </c>
      <c r="BE101" s="205">
        <f>VLOOKUP(Y101,'- DLiêu Gốc -'!$C$1:$F$60,4,0)</f>
        <v>0.34</v>
      </c>
      <c r="BF101" s="53" t="str">
        <f t="shared" si="69"/>
        <v>o-o-o</v>
      </c>
      <c r="BG101" s="54"/>
      <c r="BH101" s="343"/>
      <c r="BI101" s="342"/>
      <c r="BJ101" s="400"/>
      <c r="BK101" s="336"/>
      <c r="BL101" s="400"/>
      <c r="BM101" s="101"/>
      <c r="BN101" s="126"/>
      <c r="BO101" s="58"/>
      <c r="BP101" s="55"/>
      <c r="BQ101" s="346"/>
      <c r="BR101" s="56"/>
      <c r="BS101" s="395"/>
      <c r="BT101" s="337"/>
      <c r="BU101" s="395"/>
      <c r="BV101" s="46"/>
      <c r="BW101" s="57"/>
      <c r="BX101" s="125"/>
      <c r="BY101" s="254" t="str">
        <f t="shared" si="70"/>
        <v>- - -</v>
      </c>
      <c r="BZ101" s="53" t="str">
        <f t="shared" si="71"/>
        <v>- - -</v>
      </c>
      <c r="CA101" s="316" t="str">
        <f t="shared" si="72"/>
        <v>Chánh Văn phòng Học viện, Trưởng Ban Tổ chức - Cán bộ, Trưởng Trung tâm Ngoại ngữ - Tin học và Thông tin - Thư viện</v>
      </c>
      <c r="CB101" s="59" t="str">
        <f t="shared" si="73"/>
        <v>A</v>
      </c>
      <c r="CC101" s="38" t="str">
        <f t="shared" si="74"/>
        <v>=&gt; s</v>
      </c>
      <c r="CD101" s="48">
        <f t="shared" si="75"/>
        <v>24277</v>
      </c>
      <c r="CE101" s="31" t="str">
        <f t="shared" si="76"/>
        <v>---</v>
      </c>
      <c r="CF101" s="31"/>
      <c r="CG101" s="303"/>
      <c r="CH101" s="31"/>
      <c r="CI101" s="93"/>
      <c r="CJ101" s="31" t="str">
        <f t="shared" si="77"/>
        <v>- - -</v>
      </c>
      <c r="CK101" s="51" t="str">
        <f t="shared" si="78"/>
        <v>NN</v>
      </c>
      <c r="CL101" s="61">
        <v>11</v>
      </c>
      <c r="CM101" s="62">
        <v>2012</v>
      </c>
      <c r="CN101" s="61"/>
      <c r="CO101" s="76"/>
      <c r="CP101" s="51" t="str">
        <f t="shared" si="79"/>
        <v>- - -</v>
      </c>
      <c r="CQ101" s="61"/>
      <c r="CR101" s="1405"/>
      <c r="CS101" s="61"/>
      <c r="CT101" s="76"/>
      <c r="CU101" s="65" t="str">
        <f t="shared" si="80"/>
        <v>---</v>
      </c>
      <c r="CV101" s="66" t="str">
        <f t="shared" si="81"/>
        <v>/-/ /-/</v>
      </c>
      <c r="CW101" s="63">
        <f t="shared" si="82"/>
        <v>9</v>
      </c>
      <c r="CX101" s="64">
        <f t="shared" si="83"/>
        <v>2030</v>
      </c>
      <c r="CY101" s="63">
        <f t="shared" si="84"/>
        <v>6</v>
      </c>
      <c r="CZ101" s="64">
        <f t="shared" si="85"/>
        <v>2030</v>
      </c>
      <c r="DA101" s="63">
        <f t="shared" si="86"/>
        <v>3</v>
      </c>
      <c r="DB101" s="64">
        <f t="shared" si="87"/>
        <v>2030</v>
      </c>
      <c r="DC101" s="67" t="str">
        <f t="shared" si="88"/>
        <v>- - -</v>
      </c>
      <c r="DD101" s="68" t="str">
        <f t="shared" si="89"/>
        <v>. .</v>
      </c>
      <c r="DE101" s="68"/>
      <c r="DF101" s="48">
        <f t="shared" si="90"/>
        <v>720</v>
      </c>
      <c r="DG101" s="48">
        <f t="shared" si="91"/>
        <v>-23636</v>
      </c>
      <c r="DH101" s="48">
        <f t="shared" si="92"/>
        <v>-1970</v>
      </c>
      <c r="DI101" s="48" t="str">
        <f t="shared" si="93"/>
        <v>Nam dưới 35</v>
      </c>
      <c r="DJ101" s="48"/>
      <c r="DK101" s="48"/>
      <c r="DL101" s="53" t="str">
        <f t="shared" si="94"/>
        <v>Đến 30</v>
      </c>
      <c r="DM101" s="1318"/>
      <c r="DN101" s="76" t="str">
        <f>IF(CK101&gt;0,"TD","--")</f>
        <v>TD</v>
      </c>
      <c r="DO101" s="88"/>
      <c r="DP101" s="69"/>
      <c r="DQ101" s="34"/>
      <c r="DR101" s="32"/>
      <c r="DS101" s="77"/>
      <c r="DT101" s="78"/>
      <c r="DU101" s="71"/>
      <c r="DV101" s="84"/>
      <c r="DW101" s="33" t="s">
        <v>278</v>
      </c>
      <c r="DX101" s="315" t="s">
        <v>114</v>
      </c>
      <c r="DY101" s="33" t="s">
        <v>278</v>
      </c>
      <c r="DZ101" s="44" t="s">
        <v>341</v>
      </c>
      <c r="EA101" s="45" t="s">
        <v>359</v>
      </c>
      <c r="EB101" s="45" t="s">
        <v>341</v>
      </c>
      <c r="EC101" s="45" t="s">
        <v>359</v>
      </c>
      <c r="ED101" s="72" t="s">
        <v>377</v>
      </c>
      <c r="EE101" s="45">
        <f t="shared" si="96"/>
        <v>0</v>
      </c>
      <c r="EF101" s="73" t="str">
        <f t="shared" si="97"/>
        <v>- - -</v>
      </c>
      <c r="EG101" s="44" t="s">
        <v>341</v>
      </c>
      <c r="EH101" s="45" t="s">
        <v>359</v>
      </c>
      <c r="EI101" s="45" t="s">
        <v>341</v>
      </c>
      <c r="EJ101" s="45" t="s">
        <v>359</v>
      </c>
      <c r="EK101" s="72" t="s">
        <v>377</v>
      </c>
      <c r="EL101" s="81">
        <v>4.6500000000000004</v>
      </c>
      <c r="EM101" s="51" t="str">
        <f t="shared" si="98"/>
        <v>- - -</v>
      </c>
      <c r="EN101" s="74" t="str">
        <f t="shared" si="99"/>
        <v>---</v>
      </c>
      <c r="EO101" s="84"/>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554"/>
      <c r="FO101" s="554"/>
      <c r="FP101" s="554"/>
      <c r="FQ101" s="554"/>
      <c r="FR101" s="554"/>
    </row>
    <row r="102" spans="1:174" s="244" customFormat="1" ht="11.25" customHeight="1" x14ac:dyDescent="0.2">
      <c r="A102" s="100">
        <v>473</v>
      </c>
      <c r="B102" s="434">
        <v>479</v>
      </c>
      <c r="C102" s="31"/>
      <c r="D102" s="31" t="str">
        <f t="shared" si="56"/>
        <v>Ông</v>
      </c>
      <c r="E102" s="37" t="s">
        <v>258</v>
      </c>
      <c r="F102" s="31" t="s">
        <v>378</v>
      </c>
      <c r="G102" s="60" t="s">
        <v>382</v>
      </c>
      <c r="H102" s="508" t="s">
        <v>359</v>
      </c>
      <c r="I102" s="60" t="s">
        <v>343</v>
      </c>
      <c r="J102" s="508" t="s">
        <v>359</v>
      </c>
      <c r="K102" s="37" t="s">
        <v>18</v>
      </c>
      <c r="L102" s="157" t="s">
        <v>451</v>
      </c>
      <c r="M102" s="526" t="str">
        <f t="shared" si="57"/>
        <v>VC</v>
      </c>
      <c r="N102" s="163"/>
      <c r="O102" s="509" t="str">
        <f t="shared" si="58"/>
        <v>CVụ</v>
      </c>
      <c r="P102" s="37" t="s">
        <v>583</v>
      </c>
      <c r="Q102" s="296" t="str">
        <f>VLOOKUP(P102,'[1]- DLiêu Gốc (Không sửa)'!$C$2:$H$116,2,0)</f>
        <v>0,8</v>
      </c>
      <c r="R102" s="37"/>
      <c r="S102" s="190" t="s">
        <v>570</v>
      </c>
      <c r="T102" s="35" t="str">
        <f>VLOOKUP(Y102,'- DLiêu Gốc -'!$C$2:$H$60,5,0)</f>
        <v>A1</v>
      </c>
      <c r="U102" s="36" t="str">
        <f>VLOOKUP(Y102,'- DLiêu Gốc -'!$C$2:$H$60,6,0)</f>
        <v>- - -</v>
      </c>
      <c r="V102" s="537" t="s">
        <v>424</v>
      </c>
      <c r="W102" s="295" t="str">
        <f t="shared" si="59"/>
        <v>Giảng viên (hạng III)</v>
      </c>
      <c r="X102" s="298" t="str">
        <f t="shared" si="60"/>
        <v>V.07.01.03</v>
      </c>
      <c r="Y102" s="317" t="s">
        <v>430</v>
      </c>
      <c r="Z102" s="317" t="str">
        <f>VLOOKUP(Y102,'- DLiêu Gốc -'!$C$1:$H$133,2,0)</f>
        <v>V.07.01.03</v>
      </c>
      <c r="AA102" s="48" t="str">
        <f t="shared" si="61"/>
        <v>Lương</v>
      </c>
      <c r="AB102" s="139">
        <v>7</v>
      </c>
      <c r="AC102" s="407" t="s">
        <v>359</v>
      </c>
      <c r="AD102" s="39">
        <v>9</v>
      </c>
      <c r="AE102" s="40">
        <f t="shared" si="62"/>
        <v>4.32</v>
      </c>
      <c r="AF102" s="329"/>
      <c r="AG102" s="102"/>
      <c r="AH102" s="396"/>
      <c r="AI102" s="405" t="s">
        <v>359</v>
      </c>
      <c r="AJ102" s="102"/>
      <c r="AK102" s="405" t="s">
        <v>359</v>
      </c>
      <c r="AL102" s="406"/>
      <c r="AM102" s="126"/>
      <c r="AN102" s="49"/>
      <c r="AO102" s="249">
        <f t="shared" si="100"/>
        <v>8</v>
      </c>
      <c r="AP102" s="185" t="str">
        <f t="shared" si="101"/>
        <v>/</v>
      </c>
      <c r="AQ102" s="80">
        <f t="shared" si="102"/>
        <v>9</v>
      </c>
      <c r="AR102" s="43">
        <f t="shared" si="103"/>
        <v>4.6500000000000004</v>
      </c>
      <c r="AS102" s="333"/>
      <c r="AT102" s="44" t="s">
        <v>341</v>
      </c>
      <c r="AU102" s="395" t="s">
        <v>359</v>
      </c>
      <c r="AV102" s="45" t="s">
        <v>341</v>
      </c>
      <c r="AW102" s="395" t="s">
        <v>359</v>
      </c>
      <c r="AX102" s="46">
        <v>2021</v>
      </c>
      <c r="AY102" s="84"/>
      <c r="AZ102" s="383" t="s">
        <v>642</v>
      </c>
      <c r="BA102" s="392"/>
      <c r="BB102" s="47">
        <f t="shared" si="67"/>
        <v>3</v>
      </c>
      <c r="BC102" s="253">
        <f t="shared" si="68"/>
        <v>-24253</v>
      </c>
      <c r="BD102" s="205">
        <f>VLOOKUP(Y102,'- DLiêu Gốc -'!$C$1:$F$60,3,0)</f>
        <v>2.34</v>
      </c>
      <c r="BE102" s="205">
        <f>VLOOKUP(Y102,'- DLiêu Gốc -'!$C$1:$F$60,4,0)</f>
        <v>0.33</v>
      </c>
      <c r="BF102" s="53" t="str">
        <f t="shared" si="69"/>
        <v>PCTN</v>
      </c>
      <c r="BG102" s="54">
        <v>21</v>
      </c>
      <c r="BH102" s="343" t="s">
        <v>332</v>
      </c>
      <c r="BI102" s="56" t="s">
        <v>341</v>
      </c>
      <c r="BJ102" s="400" t="s">
        <v>359</v>
      </c>
      <c r="BK102" s="341">
        <v>10</v>
      </c>
      <c r="BL102" s="400" t="s">
        <v>359</v>
      </c>
      <c r="BM102" s="46">
        <v>2019</v>
      </c>
      <c r="BN102" s="126"/>
      <c r="BO102" s="58"/>
      <c r="BP102" s="55">
        <f>IF(BG102&gt;3,BG102+1,0)</f>
        <v>22</v>
      </c>
      <c r="BQ102" s="346" t="s">
        <v>332</v>
      </c>
      <c r="BR102" s="56" t="s">
        <v>341</v>
      </c>
      <c r="BS102" s="395" t="s">
        <v>359</v>
      </c>
      <c r="BT102" s="339">
        <v>10</v>
      </c>
      <c r="BU102" s="395" t="s">
        <v>359</v>
      </c>
      <c r="BV102" s="46">
        <v>2020</v>
      </c>
      <c r="BW102" s="57"/>
      <c r="BX102" s="125"/>
      <c r="BY102" s="254">
        <f t="shared" si="70"/>
        <v>-24250</v>
      </c>
      <c r="BZ102" s="53" t="str">
        <f t="shared" si="71"/>
        <v>- - -</v>
      </c>
      <c r="CA102" s="316" t="str">
        <f t="shared" si="72"/>
        <v>Chánh Văn phòng Học viện, Trưởng Ban Tổ chức - Cán bộ, Trưởng Ban Tổ chức cán bộ</v>
      </c>
      <c r="CB102" s="59" t="str">
        <f t="shared" si="73"/>
        <v>A</v>
      </c>
      <c r="CC102" s="38" t="str">
        <f t="shared" si="74"/>
        <v>=&gt; s</v>
      </c>
      <c r="CD102" s="48">
        <f t="shared" si="75"/>
        <v>24277</v>
      </c>
      <c r="CE102" s="31" t="str">
        <f t="shared" si="76"/>
        <v>S</v>
      </c>
      <c r="CF102" s="31">
        <v>2017</v>
      </c>
      <c r="CG102" s="303" t="s">
        <v>426</v>
      </c>
      <c r="CH102" s="31"/>
      <c r="CI102" s="105"/>
      <c r="CJ102" s="31" t="str">
        <f t="shared" si="77"/>
        <v>Cùg Ng</v>
      </c>
      <c r="CK102" s="51" t="str">
        <f t="shared" si="78"/>
        <v>- - -</v>
      </c>
      <c r="CL102" s="61"/>
      <c r="CM102" s="62"/>
      <c r="CN102" s="61"/>
      <c r="CO102" s="76"/>
      <c r="CP102" s="51" t="str">
        <f t="shared" si="79"/>
        <v>- - -</v>
      </c>
      <c r="CQ102" s="61"/>
      <c r="CR102" s="32"/>
      <c r="CS102" s="61"/>
      <c r="CT102" s="76"/>
      <c r="CU102" s="65" t="str">
        <f t="shared" si="80"/>
        <v>---</v>
      </c>
      <c r="CV102" s="66" t="str">
        <f t="shared" si="81"/>
        <v>/-/ /-/</v>
      </c>
      <c r="CW102" s="63">
        <f t="shared" si="82"/>
        <v>6</v>
      </c>
      <c r="CX102" s="64">
        <f t="shared" si="83"/>
        <v>2035</v>
      </c>
      <c r="CY102" s="63">
        <f t="shared" si="84"/>
        <v>3</v>
      </c>
      <c r="CZ102" s="64">
        <f t="shared" si="85"/>
        <v>2035</v>
      </c>
      <c r="DA102" s="63">
        <f t="shared" si="86"/>
        <v>12</v>
      </c>
      <c r="DB102" s="64">
        <f t="shared" si="87"/>
        <v>2034</v>
      </c>
      <c r="DC102" s="67" t="str">
        <f t="shared" si="88"/>
        <v>- - -</v>
      </c>
      <c r="DD102" s="68" t="str">
        <f t="shared" si="89"/>
        <v>. .</v>
      </c>
      <c r="DE102" s="68"/>
      <c r="DF102" s="48">
        <f t="shared" si="90"/>
        <v>720</v>
      </c>
      <c r="DG102" s="48">
        <f t="shared" si="91"/>
        <v>-23693</v>
      </c>
      <c r="DH102" s="48">
        <f t="shared" si="92"/>
        <v>-1975</v>
      </c>
      <c r="DI102" s="48" t="str">
        <f t="shared" si="93"/>
        <v>Nam dưới 35</v>
      </c>
      <c r="DJ102" s="48"/>
      <c r="DK102" s="48"/>
      <c r="DL102" s="53" t="str">
        <f t="shared" si="94"/>
        <v>Đến 30</v>
      </c>
      <c r="DM102" s="61" t="str">
        <f t="shared" ref="DM102:DM116" si="104">IF(DN102&gt;0,"TD","--")</f>
        <v>--</v>
      </c>
      <c r="DN102" s="32"/>
      <c r="DO102" s="31"/>
      <c r="DP102" s="69"/>
      <c r="DQ102" s="32"/>
      <c r="DR102" s="76"/>
      <c r="DS102" s="77"/>
      <c r="DT102" s="78"/>
      <c r="DU102" s="71" t="s">
        <v>409</v>
      </c>
      <c r="DV102" s="84" t="s">
        <v>259</v>
      </c>
      <c r="DW102" s="33"/>
      <c r="DX102" s="315" t="s">
        <v>419</v>
      </c>
      <c r="DY102" s="33" t="s">
        <v>337</v>
      </c>
      <c r="DZ102" s="44" t="s">
        <v>341</v>
      </c>
      <c r="EA102" s="45" t="s">
        <v>359</v>
      </c>
      <c r="EB102" s="45" t="s">
        <v>370</v>
      </c>
      <c r="EC102" s="45" t="s">
        <v>359</v>
      </c>
      <c r="ED102" s="72">
        <v>2012</v>
      </c>
      <c r="EE102" s="45">
        <f t="shared" si="96"/>
        <v>0</v>
      </c>
      <c r="EF102" s="73" t="str">
        <f t="shared" si="97"/>
        <v>- - -</v>
      </c>
      <c r="EG102" s="44" t="s">
        <v>341</v>
      </c>
      <c r="EH102" s="45" t="s">
        <v>359</v>
      </c>
      <c r="EI102" s="45" t="s">
        <v>370</v>
      </c>
      <c r="EJ102" s="45" t="s">
        <v>359</v>
      </c>
      <c r="EK102" s="72">
        <v>2012</v>
      </c>
      <c r="EL102" s="31"/>
      <c r="EM102" s="51" t="str">
        <f t="shared" si="98"/>
        <v>- - -</v>
      </c>
      <c r="EN102" s="74" t="str">
        <f t="shared" si="99"/>
        <v>---</v>
      </c>
      <c r="EO102" s="84"/>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row>
    <row r="103" spans="1:174" s="75" customFormat="1" ht="11.25" customHeight="1" x14ac:dyDescent="0.25">
      <c r="A103" s="100">
        <v>477</v>
      </c>
      <c r="B103" s="296">
        <v>482</v>
      </c>
      <c r="C103" s="31"/>
      <c r="D103" s="31" t="str">
        <f t="shared" si="56"/>
        <v>Ông</v>
      </c>
      <c r="E103" s="37" t="s">
        <v>56</v>
      </c>
      <c r="F103" s="31" t="s">
        <v>378</v>
      </c>
      <c r="G103" s="60" t="s">
        <v>272</v>
      </c>
      <c r="H103" s="508" t="s">
        <v>359</v>
      </c>
      <c r="I103" s="60" t="s">
        <v>346</v>
      </c>
      <c r="J103" s="508" t="s">
        <v>359</v>
      </c>
      <c r="K103" s="37" t="s">
        <v>338</v>
      </c>
      <c r="L103" s="157" t="s">
        <v>451</v>
      </c>
      <c r="M103" s="526" t="str">
        <f t="shared" si="57"/>
        <v>VC</v>
      </c>
      <c r="N103" s="163"/>
      <c r="O103" s="509" t="str">
        <f t="shared" si="58"/>
        <v>CVụ</v>
      </c>
      <c r="P103" s="37" t="s">
        <v>487</v>
      </c>
      <c r="Q103" s="296" t="str">
        <f>VLOOKUP(P103,'[1]- DLiêu Gốc (Không sửa)'!$C$2:$H$116,2,0)</f>
        <v>0,4</v>
      </c>
      <c r="R103" s="37" t="s">
        <v>375</v>
      </c>
      <c r="S103" s="190" t="s">
        <v>419</v>
      </c>
      <c r="T103" s="35" t="str">
        <f>VLOOKUP(Y103,'- DLiêu Gốc -'!$C$2:$H$60,5,0)</f>
        <v>C</v>
      </c>
      <c r="U103" s="36" t="str">
        <f>VLOOKUP(Y103,'- DLiêu Gốc -'!$C$2:$H$60,6,0)</f>
        <v>Nhân viên</v>
      </c>
      <c r="V103" s="537" t="s">
        <v>425</v>
      </c>
      <c r="W103" s="428" t="str">
        <f t="shared" si="59"/>
        <v>Nhân viên</v>
      </c>
      <c r="X103" s="298" t="str">
        <f t="shared" si="60"/>
        <v>01.005</v>
      </c>
      <c r="Y103" s="317" t="s">
        <v>354</v>
      </c>
      <c r="Z103" s="317" t="str">
        <f>VLOOKUP(Y103,'- DLiêu Gốc -'!$C$1:$H$133,2,0)</f>
        <v>01.010</v>
      </c>
      <c r="AA103" s="48" t="str">
        <f t="shared" si="61"/>
        <v>Lương</v>
      </c>
      <c r="AB103" s="1319">
        <v>12</v>
      </c>
      <c r="AC103" s="407" t="str">
        <f>IF(AD103&gt;0,"/")</f>
        <v>/</v>
      </c>
      <c r="AD103" s="39">
        <f>IF(OR(BE103=0.18,BE103=0.2),12,IF(BE103=0.31,10,IF(BE103=0.33,9,IF(BE103=0.34,8,IF(BE103=0.36,6)))))</f>
        <v>12</v>
      </c>
      <c r="AE103" s="40">
        <f t="shared" si="62"/>
        <v>4.0299999999999994</v>
      </c>
      <c r="AF103" s="41">
        <v>8</v>
      </c>
      <c r="AG103" s="333" t="str">
        <f>IF(AD103=AB103,"%",IF(AD103&gt;AB103,"/"))</f>
        <v>%</v>
      </c>
      <c r="AH103" s="396"/>
      <c r="AI103" s="405"/>
      <c r="AJ103" s="102"/>
      <c r="AK103" s="405"/>
      <c r="AL103" s="406"/>
      <c r="AM103" s="126"/>
      <c r="AN103" s="49"/>
      <c r="AO103" s="440"/>
      <c r="AP103" s="442"/>
      <c r="AQ103" s="438"/>
      <c r="AR103" s="423">
        <f>IF(AND(AD103=AB103,AF103=0),5,IF(AND(AD103=AB103,AF103&gt;4),AF103+1,IF(AD103&gt;AB103,AD103)))</f>
        <v>9</v>
      </c>
      <c r="AS103" s="333" t="str">
        <f>IF(AD103=AB103,"%",IF(AD103&gt;AB103,AE103+BE103))</f>
        <v>%</v>
      </c>
      <c r="AT103" s="44" t="s">
        <v>341</v>
      </c>
      <c r="AU103" s="395" t="s">
        <v>359</v>
      </c>
      <c r="AV103" s="45" t="s">
        <v>341</v>
      </c>
      <c r="AW103" s="395" t="s">
        <v>359</v>
      </c>
      <c r="AX103" s="46">
        <v>2021</v>
      </c>
      <c r="AY103" s="84"/>
      <c r="AZ103" s="191"/>
      <c r="BA103" s="392">
        <v>1.18</v>
      </c>
      <c r="BB103" s="47">
        <f t="shared" si="67"/>
        <v>1</v>
      </c>
      <c r="BC103" s="429">
        <f t="shared" si="68"/>
        <v>-24253</v>
      </c>
      <c r="BD103" s="205">
        <f>VLOOKUP(Y103,'- DLiêu Gốc -'!$C$1:$F$60,3,0)</f>
        <v>2.0499999999999998</v>
      </c>
      <c r="BE103" s="205">
        <f>VLOOKUP(Y103,'- DLiêu Gốc -'!$C$1:$F$60,4,0)</f>
        <v>0.18</v>
      </c>
      <c r="BF103" s="53" t="str">
        <f t="shared" si="69"/>
        <v>o-o-o</v>
      </c>
      <c r="BG103" s="54"/>
      <c r="BH103" s="343"/>
      <c r="BI103" s="342"/>
      <c r="BJ103" s="400"/>
      <c r="BK103" s="336"/>
      <c r="BL103" s="400"/>
      <c r="BM103" s="101"/>
      <c r="BN103" s="126"/>
      <c r="BO103" s="58"/>
      <c r="BP103" s="55"/>
      <c r="BQ103" s="346"/>
      <c r="BR103" s="56"/>
      <c r="BS103" s="395"/>
      <c r="BT103" s="337"/>
      <c r="BU103" s="395"/>
      <c r="BV103" s="46"/>
      <c r="BW103" s="57"/>
      <c r="BX103" s="125"/>
      <c r="BY103" s="254" t="str">
        <f t="shared" si="70"/>
        <v>- - -</v>
      </c>
      <c r="BZ103" s="53" t="str">
        <f t="shared" si="71"/>
        <v>- - -</v>
      </c>
      <c r="CA103" s="316" t="str">
        <f t="shared" si="72"/>
        <v>Chánh Văn phòng Học viện, Trưởng Ban Tổ chức - Cán bộ</v>
      </c>
      <c r="CB103" s="59" t="str">
        <f t="shared" si="73"/>
        <v>A</v>
      </c>
      <c r="CC103" s="38" t="str">
        <f>IF(AND(AF103&gt;0,AB103&lt;(AD103-1),CD103&gt;0,CD103&lt;13,OR(AND(CJ103="Cùg Ng",($CC$2-CF103)&gt;BB103),CJ103="- - -")),"Sớm TT","=&gt; s")</f>
        <v>=&gt; s</v>
      </c>
      <c r="CD103" s="48" t="str">
        <f t="shared" si="75"/>
        <v>---</v>
      </c>
      <c r="CE103" s="31" t="str">
        <f t="shared" si="76"/>
        <v>---</v>
      </c>
      <c r="CF103" s="31"/>
      <c r="CG103" s="303"/>
      <c r="CH103" s="31"/>
      <c r="CI103" s="93"/>
      <c r="CJ103" s="31" t="str">
        <f t="shared" si="77"/>
        <v>- - -</v>
      </c>
      <c r="CK103" s="51" t="str">
        <f t="shared" si="78"/>
        <v>- - -</v>
      </c>
      <c r="CL103" s="61"/>
      <c r="CM103" s="62"/>
      <c r="CN103" s="61"/>
      <c r="CO103" s="76"/>
      <c r="CP103" s="51" t="str">
        <f t="shared" si="79"/>
        <v>- - -</v>
      </c>
      <c r="CQ103" s="61"/>
      <c r="CR103" s="62"/>
      <c r="CS103" s="61"/>
      <c r="CT103" s="76"/>
      <c r="CU103" s="65" t="str">
        <f t="shared" si="80"/>
        <v>---</v>
      </c>
      <c r="CV103" s="66" t="str">
        <f t="shared" si="81"/>
        <v>/-/ /-/</v>
      </c>
      <c r="CW103" s="63">
        <f t="shared" si="82"/>
        <v>4</v>
      </c>
      <c r="CX103" s="64">
        <f t="shared" si="83"/>
        <v>2031</v>
      </c>
      <c r="CY103" s="63">
        <f t="shared" si="84"/>
        <v>1</v>
      </c>
      <c r="CZ103" s="64">
        <f t="shared" si="85"/>
        <v>2031</v>
      </c>
      <c r="DA103" s="63">
        <f t="shared" si="86"/>
        <v>10</v>
      </c>
      <c r="DB103" s="64">
        <f t="shared" si="87"/>
        <v>2030</v>
      </c>
      <c r="DC103" s="67" t="str">
        <f t="shared" si="88"/>
        <v>- - -</v>
      </c>
      <c r="DD103" s="68" t="str">
        <f t="shared" si="89"/>
        <v>. .</v>
      </c>
      <c r="DE103" s="68"/>
      <c r="DF103" s="48">
        <f t="shared" si="90"/>
        <v>720</v>
      </c>
      <c r="DG103" s="48">
        <f t="shared" si="91"/>
        <v>-23643</v>
      </c>
      <c r="DH103" s="48">
        <f t="shared" si="92"/>
        <v>-1971</v>
      </c>
      <c r="DI103" s="48" t="str">
        <f t="shared" si="93"/>
        <v>Nam dưới 35</v>
      </c>
      <c r="DJ103" s="48"/>
      <c r="DK103" s="48"/>
      <c r="DL103" s="53" t="str">
        <f t="shared" si="94"/>
        <v>Đến 30</v>
      </c>
      <c r="DM103" s="61" t="str">
        <f t="shared" si="104"/>
        <v>--</v>
      </c>
      <c r="DN103" s="32"/>
      <c r="DO103" s="82"/>
      <c r="DP103" s="69"/>
      <c r="DQ103" s="32"/>
      <c r="DR103" s="76"/>
      <c r="DS103" s="77"/>
      <c r="DT103" s="78"/>
      <c r="DU103" s="71"/>
      <c r="DV103" s="84"/>
      <c r="DW103" s="33" t="s">
        <v>375</v>
      </c>
      <c r="DX103" s="315" t="s">
        <v>419</v>
      </c>
      <c r="DY103" s="33" t="s">
        <v>375</v>
      </c>
      <c r="DZ103" s="44" t="s">
        <v>341</v>
      </c>
      <c r="EA103" s="45" t="s">
        <v>359</v>
      </c>
      <c r="EB103" s="45" t="s">
        <v>341</v>
      </c>
      <c r="EC103" s="45" t="s">
        <v>359</v>
      </c>
      <c r="ED103" s="72">
        <v>2013</v>
      </c>
      <c r="EE103" s="45">
        <f t="shared" si="96"/>
        <v>0</v>
      </c>
      <c r="EF103" s="73" t="str">
        <f t="shared" si="97"/>
        <v>- - -</v>
      </c>
      <c r="EG103" s="44" t="s">
        <v>341</v>
      </c>
      <c r="EH103" s="45" t="s">
        <v>359</v>
      </c>
      <c r="EI103" s="45" t="s">
        <v>341</v>
      </c>
      <c r="EJ103" s="45" t="s">
        <v>359</v>
      </c>
      <c r="EK103" s="72">
        <v>2013</v>
      </c>
      <c r="EL103" s="31"/>
      <c r="EM103" s="51" t="str">
        <f>IF(AND(BE103&gt;0.34,AF103=1,OR(BD103=6.2,BD103=5.75)),((BD103-EL103)-2*0.34),IF(AND(BE103&gt;0.33,AF103=1,OR(BD103=4.4,BD103=4)),((BD103-EL103)-2*0.33),"- - -"))</f>
        <v>- - -</v>
      </c>
      <c r="EN103" s="74" t="str">
        <f t="shared" si="99"/>
        <v>---</v>
      </c>
      <c r="EO103" s="84"/>
      <c r="FN103" s="248"/>
      <c r="FO103" s="248"/>
      <c r="FP103" s="248"/>
      <c r="FQ103" s="248"/>
      <c r="FR103" s="248"/>
    </row>
    <row r="104" spans="1:174" s="75" customFormat="1" ht="11.25" customHeight="1" x14ac:dyDescent="0.2">
      <c r="A104" s="100">
        <v>514</v>
      </c>
      <c r="B104" s="296">
        <v>518</v>
      </c>
      <c r="C104" s="183"/>
      <c r="D104" s="31" t="str">
        <f t="shared" si="56"/>
        <v>Ông</v>
      </c>
      <c r="E104" s="37" t="s">
        <v>57</v>
      </c>
      <c r="F104" s="31" t="s">
        <v>378</v>
      </c>
      <c r="G104" s="60" t="s">
        <v>274</v>
      </c>
      <c r="H104" s="508" t="s">
        <v>359</v>
      </c>
      <c r="I104" s="60" t="s">
        <v>376</v>
      </c>
      <c r="J104" s="508" t="s">
        <v>359</v>
      </c>
      <c r="K104" s="37">
        <v>1985</v>
      </c>
      <c r="L104" s="157" t="s">
        <v>434</v>
      </c>
      <c r="M104" s="526" t="str">
        <f t="shared" si="57"/>
        <v>NLĐ</v>
      </c>
      <c r="N104" s="163"/>
      <c r="O104" s="509" t="e">
        <f t="shared" si="58"/>
        <v>#N/A</v>
      </c>
      <c r="P104" s="37"/>
      <c r="Q104" s="296" t="e">
        <f>VLOOKUP(P104,'[1]- DLiêu Gốc (Không sửa)'!$C$2:$H$116,2,0)</f>
        <v>#N/A</v>
      </c>
      <c r="R104" s="37" t="s">
        <v>368</v>
      </c>
      <c r="S104" s="190" t="s">
        <v>419</v>
      </c>
      <c r="T104" s="35" t="str">
        <f>VLOOKUP(Y104,'- DLiêu Gốc -'!$C$2:$H$60,5,0)</f>
        <v>C</v>
      </c>
      <c r="U104" s="36" t="str">
        <f>VLOOKUP(Y104,'- DLiêu Gốc -'!$C$2:$H$60,6,0)</f>
        <v>Nhân viên</v>
      </c>
      <c r="V104" s="537" t="s">
        <v>425</v>
      </c>
      <c r="W104" s="295" t="str">
        <f t="shared" si="59"/>
        <v>Nhân viên</v>
      </c>
      <c r="X104" s="298" t="str">
        <f t="shared" si="60"/>
        <v>01.005</v>
      </c>
      <c r="Y104" s="317" t="s">
        <v>357</v>
      </c>
      <c r="Z104" s="317" t="str">
        <f>VLOOKUP(Y104,'- DLiêu Gốc -'!$C$1:$H$133,2,0)</f>
        <v>01.007</v>
      </c>
      <c r="AA104" s="48" t="str">
        <f t="shared" si="61"/>
        <v>Lương</v>
      </c>
      <c r="AB104" s="139">
        <v>6</v>
      </c>
      <c r="AC104" s="407" t="s">
        <v>359</v>
      </c>
      <c r="AD104" s="39">
        <v>12</v>
      </c>
      <c r="AE104" s="40">
        <f t="shared" si="62"/>
        <v>2.5499999999999998</v>
      </c>
      <c r="AF104" s="329"/>
      <c r="AG104" s="329"/>
      <c r="AH104" s="396"/>
      <c r="AI104" s="405" t="s">
        <v>359</v>
      </c>
      <c r="AJ104" s="102"/>
      <c r="AK104" s="405" t="s">
        <v>359</v>
      </c>
      <c r="AL104" s="406"/>
      <c r="AM104" s="126"/>
      <c r="AN104" s="49"/>
      <c r="AO104" s="41">
        <f>AB104+1</f>
        <v>7</v>
      </c>
      <c r="AP104" s="401" t="str">
        <f>IF(AD104=AB104,"%",IF(AD104&gt;AB104,"/"))</f>
        <v>/</v>
      </c>
      <c r="AQ104" s="80">
        <f>IF(AND(AD104=AB104,AO104=4),5,IF(AND(AD104=AB104,AO104&gt;4),AO104+1,IF(AD104&gt;AB104,AD104)))</f>
        <v>12</v>
      </c>
      <c r="AR104" s="43">
        <f>IF(AD104=AB104,"%",IF(AD104&gt;AB104,AE104+BE104))</f>
        <v>2.73</v>
      </c>
      <c r="AS104" s="43"/>
      <c r="AT104" s="44" t="s">
        <v>341</v>
      </c>
      <c r="AU104" s="395" t="s">
        <v>359</v>
      </c>
      <c r="AV104" s="45" t="s">
        <v>341</v>
      </c>
      <c r="AW104" s="395" t="s">
        <v>359</v>
      </c>
      <c r="AX104" s="46">
        <v>2021</v>
      </c>
      <c r="AY104" s="84"/>
      <c r="AZ104" s="191"/>
      <c r="BA104" s="392"/>
      <c r="BB104" s="47">
        <f t="shared" si="67"/>
        <v>2</v>
      </c>
      <c r="BC104" s="253">
        <f t="shared" si="68"/>
        <v>-24253</v>
      </c>
      <c r="BD104" s="205">
        <f>VLOOKUP(Y104,'- DLiêu Gốc -'!$C$1:$F$60,3,0)</f>
        <v>1.65</v>
      </c>
      <c r="BE104" s="205">
        <f>VLOOKUP(Y104,'- DLiêu Gốc -'!$C$1:$F$60,4,0)</f>
        <v>0.18</v>
      </c>
      <c r="BF104" s="53" t="str">
        <f t="shared" si="69"/>
        <v>o-o-o</v>
      </c>
      <c r="BG104" s="54"/>
      <c r="BH104" s="343"/>
      <c r="BI104" s="342"/>
      <c r="BJ104" s="400"/>
      <c r="BK104" s="336"/>
      <c r="BL104" s="400"/>
      <c r="BM104" s="101"/>
      <c r="BN104" s="126"/>
      <c r="BO104" s="58"/>
      <c r="BP104" s="55"/>
      <c r="BQ104" s="346"/>
      <c r="BR104" s="56"/>
      <c r="BS104" s="395"/>
      <c r="BT104" s="337"/>
      <c r="BU104" s="395"/>
      <c r="BV104" s="46"/>
      <c r="BW104" s="57"/>
      <c r="BX104" s="125"/>
      <c r="BY104" s="254" t="str">
        <f t="shared" si="70"/>
        <v>- - -</v>
      </c>
      <c r="BZ104" s="53" t="str">
        <f t="shared" si="71"/>
        <v>- - -</v>
      </c>
      <c r="CA104" s="316" t="str">
        <f t="shared" si="72"/>
        <v>Chánh Văn phòng Học viện, Trưởng Ban Tổ chức - Cán bộ</v>
      </c>
      <c r="CB104" s="59" t="str">
        <f t="shared" si="73"/>
        <v>A</v>
      </c>
      <c r="CC104" s="38" t="str">
        <f>IF(AND(AO104&gt;0,AB104&lt;(AD104-1),CD104&gt;0,CD104&lt;13,OR(AND(CJ104="Cùg Ng",($CC$2-CF104)&gt;BB104),CJ104="- - -")),"Sớm TT","=&gt; s")</f>
        <v>=&gt; s</v>
      </c>
      <c r="CD104" s="48">
        <f t="shared" si="75"/>
        <v>24265</v>
      </c>
      <c r="CE104" s="31" t="str">
        <f t="shared" si="76"/>
        <v>---</v>
      </c>
      <c r="CF104" s="31"/>
      <c r="CG104" s="303"/>
      <c r="CH104" s="31"/>
      <c r="CI104" s="93"/>
      <c r="CJ104" s="31" t="str">
        <f t="shared" si="77"/>
        <v>- - -</v>
      </c>
      <c r="CK104" s="51" t="str">
        <f t="shared" si="78"/>
        <v>- - -</v>
      </c>
      <c r="CL104" s="61"/>
      <c r="CM104" s="62"/>
      <c r="CN104" s="61"/>
      <c r="CO104" s="76"/>
      <c r="CP104" s="51" t="str">
        <f t="shared" si="79"/>
        <v>- - -</v>
      </c>
      <c r="CQ104" s="61"/>
      <c r="CR104" s="62"/>
      <c r="CS104" s="61"/>
      <c r="CT104" s="76"/>
      <c r="CU104" s="65" t="str">
        <f t="shared" si="80"/>
        <v>---</v>
      </c>
      <c r="CV104" s="66" t="str">
        <f t="shared" si="81"/>
        <v>/-/ /-/</v>
      </c>
      <c r="CW104" s="63">
        <f t="shared" si="82"/>
        <v>5</v>
      </c>
      <c r="CX104" s="64">
        <f t="shared" si="83"/>
        <v>2045</v>
      </c>
      <c r="CY104" s="63">
        <f t="shared" si="84"/>
        <v>2</v>
      </c>
      <c r="CZ104" s="64">
        <f t="shared" si="85"/>
        <v>2045</v>
      </c>
      <c r="DA104" s="63">
        <f t="shared" si="86"/>
        <v>11</v>
      </c>
      <c r="DB104" s="64">
        <f t="shared" si="87"/>
        <v>2044</v>
      </c>
      <c r="DC104" s="67" t="str">
        <f t="shared" si="88"/>
        <v>- - -</v>
      </c>
      <c r="DD104" s="68" t="str">
        <f t="shared" si="89"/>
        <v>. .</v>
      </c>
      <c r="DE104" s="68"/>
      <c r="DF104" s="48">
        <f t="shared" si="90"/>
        <v>720</v>
      </c>
      <c r="DG104" s="48">
        <f t="shared" si="91"/>
        <v>-23812</v>
      </c>
      <c r="DH104" s="48">
        <f t="shared" si="92"/>
        <v>-1985</v>
      </c>
      <c r="DI104" s="48" t="str">
        <f t="shared" si="93"/>
        <v>Nam dưới 35</v>
      </c>
      <c r="DJ104" s="48"/>
      <c r="DK104" s="48"/>
      <c r="DL104" s="53" t="str">
        <f t="shared" si="94"/>
        <v>Đến 30</v>
      </c>
      <c r="DM104" s="61" t="str">
        <f t="shared" si="104"/>
        <v>--</v>
      </c>
      <c r="DN104" s="32"/>
      <c r="DO104" s="82"/>
      <c r="DP104" s="52"/>
      <c r="DQ104" s="76"/>
      <c r="DR104" s="76"/>
      <c r="DS104" s="77"/>
      <c r="DT104" s="78"/>
      <c r="DU104" s="71"/>
      <c r="DV104" s="84"/>
      <c r="DW104" s="33" t="s">
        <v>368</v>
      </c>
      <c r="DX104" s="315" t="s">
        <v>419</v>
      </c>
      <c r="DY104" s="33" t="s">
        <v>368</v>
      </c>
      <c r="DZ104" s="44" t="s">
        <v>341</v>
      </c>
      <c r="EA104" s="45" t="s">
        <v>359</v>
      </c>
      <c r="EB104" s="45" t="s">
        <v>341</v>
      </c>
      <c r="EC104" s="45" t="s">
        <v>359</v>
      </c>
      <c r="ED104" s="72">
        <v>2013</v>
      </c>
      <c r="EE104" s="45">
        <f t="shared" si="96"/>
        <v>0</v>
      </c>
      <c r="EF104" s="73" t="str">
        <f t="shared" si="97"/>
        <v>- - -</v>
      </c>
      <c r="EG104" s="44" t="s">
        <v>341</v>
      </c>
      <c r="EH104" s="45" t="s">
        <v>359</v>
      </c>
      <c r="EI104" s="45" t="s">
        <v>341</v>
      </c>
      <c r="EJ104" s="45" t="s">
        <v>359</v>
      </c>
      <c r="EK104" s="72">
        <v>2013</v>
      </c>
      <c r="EL104" s="31"/>
      <c r="EM104" s="51" t="str">
        <f>IF(AND(BE104&gt;0.34,AO104=1,OR(BD104=6.2,BD104=5.75)),((BD104-EL104)-2*0.34),IF(AND(BE104&gt;0.33,AO104=1,OR(BD104=4.4,BD104=4)),((BD104-EL104)-2*0.33),"- - -"))</f>
        <v>- - -</v>
      </c>
      <c r="EN104" s="74" t="str">
        <f t="shared" si="99"/>
        <v>---</v>
      </c>
      <c r="EO104" s="84"/>
    </row>
    <row r="105" spans="1:174" s="244" customFormat="1" ht="13.5" customHeight="1" x14ac:dyDescent="0.2">
      <c r="A105" s="100">
        <v>517</v>
      </c>
      <c r="B105" s="434">
        <v>521</v>
      </c>
      <c r="C105" s="31"/>
      <c r="D105" s="31" t="str">
        <f t="shared" si="56"/>
        <v>Ông</v>
      </c>
      <c r="E105" s="37" t="s">
        <v>59</v>
      </c>
      <c r="F105" s="31" t="s">
        <v>378</v>
      </c>
      <c r="G105" s="60" t="s">
        <v>269</v>
      </c>
      <c r="H105" s="508" t="s">
        <v>359</v>
      </c>
      <c r="I105" s="60" t="s">
        <v>370</v>
      </c>
      <c r="J105" s="508" t="s">
        <v>359</v>
      </c>
      <c r="K105" s="37">
        <v>1988</v>
      </c>
      <c r="L105" s="157" t="s">
        <v>434</v>
      </c>
      <c r="M105" s="526" t="str">
        <f t="shared" si="57"/>
        <v>NLĐ</v>
      </c>
      <c r="N105" s="163"/>
      <c r="O105" s="509" t="e">
        <f t="shared" si="58"/>
        <v>#N/A</v>
      </c>
      <c r="P105" s="37"/>
      <c r="Q105" s="296" t="e">
        <f>VLOOKUP(P105,'[1]- DLiêu Gốc (Không sửa)'!$C$2:$H$116,2,0)</f>
        <v>#N/A</v>
      </c>
      <c r="R105" s="37" t="s">
        <v>368</v>
      </c>
      <c r="S105" s="190" t="s">
        <v>419</v>
      </c>
      <c r="T105" s="35" t="str">
        <f>VLOOKUP(Y105,'- DLiêu Gốc -'!$C$2:$H$60,5,0)</f>
        <v>C</v>
      </c>
      <c r="U105" s="36" t="str">
        <f>VLOOKUP(Y105,'- DLiêu Gốc -'!$C$2:$H$60,6,0)</f>
        <v>Nhân viên</v>
      </c>
      <c r="V105" s="537" t="s">
        <v>425</v>
      </c>
      <c r="W105" s="295" t="str">
        <f t="shared" si="59"/>
        <v>Nhân viên</v>
      </c>
      <c r="X105" s="298" t="str">
        <f t="shared" si="60"/>
        <v>01.005</v>
      </c>
      <c r="Y105" s="317" t="s">
        <v>357</v>
      </c>
      <c r="Z105" s="317" t="str">
        <f>VLOOKUP(Y105,'- DLiêu Gốc -'!$C$1:$H$133,2,0)</f>
        <v>01.007</v>
      </c>
      <c r="AA105" s="48" t="str">
        <f t="shared" si="61"/>
        <v>Lương</v>
      </c>
      <c r="AB105" s="139">
        <v>5</v>
      </c>
      <c r="AC105" s="407" t="s">
        <v>359</v>
      </c>
      <c r="AD105" s="39">
        <v>12</v>
      </c>
      <c r="AE105" s="40">
        <f t="shared" si="62"/>
        <v>2.37</v>
      </c>
      <c r="AF105" s="329"/>
      <c r="AG105" s="329"/>
      <c r="AH105" s="396"/>
      <c r="AI105" s="445" t="s">
        <v>359</v>
      </c>
      <c r="AJ105" s="102"/>
      <c r="AK105" s="405" t="s">
        <v>359</v>
      </c>
      <c r="AL105" s="406"/>
      <c r="AM105" s="126"/>
      <c r="AN105" s="49"/>
      <c r="AO105" s="41">
        <f>AB105+1</f>
        <v>6</v>
      </c>
      <c r="AP105" s="401" t="str">
        <f>IF(AD105=AB105,"%",IF(AD105&gt;AB105,"/"))</f>
        <v>/</v>
      </c>
      <c r="AQ105" s="80">
        <f>IF(AND(AD105=AB105,AO105=4),5,IF(AND(AD105=AB105,AO105&gt;4),AO105+1,IF(AD105&gt;AB105,AD105)))</f>
        <v>12</v>
      </c>
      <c r="AR105" s="43">
        <f>IF(AD105=AB105,"%",IF(AD105&gt;AB105,AE105+BE105))</f>
        <v>2.5500000000000003</v>
      </c>
      <c r="AS105" s="43"/>
      <c r="AT105" s="44" t="s">
        <v>341</v>
      </c>
      <c r="AU105" s="404" t="s">
        <v>359</v>
      </c>
      <c r="AV105" s="45" t="s">
        <v>341</v>
      </c>
      <c r="AW105" s="395" t="s">
        <v>359</v>
      </c>
      <c r="AX105" s="46">
        <v>2021</v>
      </c>
      <c r="AY105" s="123"/>
      <c r="AZ105" s="388" t="s">
        <v>598</v>
      </c>
      <c r="BA105" s="392"/>
      <c r="BB105" s="47">
        <f t="shared" si="67"/>
        <v>2</v>
      </c>
      <c r="BC105" s="253">
        <f t="shared" si="68"/>
        <v>-24253</v>
      </c>
      <c r="BD105" s="205">
        <f>VLOOKUP(Y105,'- DLiêu Gốc -'!$C$1:$F$60,3,0)</f>
        <v>1.65</v>
      </c>
      <c r="BE105" s="205">
        <f>VLOOKUP(Y105,'- DLiêu Gốc -'!$C$1:$F$60,4,0)</f>
        <v>0.18</v>
      </c>
      <c r="BF105" s="53" t="str">
        <f t="shared" si="69"/>
        <v>o-o-o</v>
      </c>
      <c r="BG105" s="54"/>
      <c r="BH105" s="343"/>
      <c r="BI105" s="342"/>
      <c r="BJ105" s="400"/>
      <c r="BK105" s="336"/>
      <c r="BL105" s="400"/>
      <c r="BM105" s="101"/>
      <c r="BN105" s="126"/>
      <c r="BO105" s="58"/>
      <c r="BP105" s="55"/>
      <c r="BQ105" s="346"/>
      <c r="BR105" s="56"/>
      <c r="BS105" s="395"/>
      <c r="BT105" s="337"/>
      <c r="BU105" s="395"/>
      <c r="BV105" s="46"/>
      <c r="BW105" s="57"/>
      <c r="BX105" s="125"/>
      <c r="BY105" s="254" t="str">
        <f t="shared" si="70"/>
        <v>- - -</v>
      </c>
      <c r="BZ105" s="53" t="str">
        <f t="shared" si="71"/>
        <v>- - -</v>
      </c>
      <c r="CA105" s="316" t="str">
        <f t="shared" si="72"/>
        <v>Chánh Văn phòng Học viện, Trưởng Ban Tổ chức - Cán bộ</v>
      </c>
      <c r="CB105" s="59" t="str">
        <f t="shared" si="73"/>
        <v>A</v>
      </c>
      <c r="CC105" s="38" t="str">
        <f>IF(AND(AO105&gt;0,AB105&lt;(AD105-1),CD105&gt;0,CD105&lt;13,OR(AND(CJ105="Cùg Ng",($CC$2-CF105)&gt;BB105),CJ105="- - -")),"Sớm TT","=&gt; s")</f>
        <v>=&gt; s</v>
      </c>
      <c r="CD105" s="48">
        <f t="shared" si="75"/>
        <v>24265</v>
      </c>
      <c r="CE105" s="31" t="str">
        <f t="shared" si="76"/>
        <v>---</v>
      </c>
      <c r="CF105" s="31"/>
      <c r="CG105" s="303"/>
      <c r="CH105" s="31"/>
      <c r="CI105" s="93"/>
      <c r="CJ105" s="31" t="str">
        <f t="shared" si="77"/>
        <v>- - -</v>
      </c>
      <c r="CK105" s="51" t="str">
        <f t="shared" si="78"/>
        <v>- - -</v>
      </c>
      <c r="CL105" s="61"/>
      <c r="CM105" s="62"/>
      <c r="CN105" s="61"/>
      <c r="CO105" s="76"/>
      <c r="CP105" s="51" t="str">
        <f t="shared" si="79"/>
        <v>- - -</v>
      </c>
      <c r="CQ105" s="61"/>
      <c r="CR105" s="62"/>
      <c r="CS105" s="61"/>
      <c r="CT105" s="76"/>
      <c r="CU105" s="65" t="str">
        <f t="shared" si="80"/>
        <v>---</v>
      </c>
      <c r="CV105" s="66" t="str">
        <f t="shared" si="81"/>
        <v>/-/ /-/</v>
      </c>
      <c r="CW105" s="63">
        <f t="shared" si="82"/>
        <v>11</v>
      </c>
      <c r="CX105" s="64">
        <f t="shared" si="83"/>
        <v>2048</v>
      </c>
      <c r="CY105" s="63">
        <f t="shared" si="84"/>
        <v>8</v>
      </c>
      <c r="CZ105" s="64">
        <f t="shared" si="85"/>
        <v>2048</v>
      </c>
      <c r="DA105" s="63">
        <f t="shared" si="86"/>
        <v>5</v>
      </c>
      <c r="DB105" s="64">
        <f t="shared" si="87"/>
        <v>2048</v>
      </c>
      <c r="DC105" s="67" t="str">
        <f t="shared" si="88"/>
        <v>- - -</v>
      </c>
      <c r="DD105" s="68" t="str">
        <f t="shared" si="89"/>
        <v>. .</v>
      </c>
      <c r="DE105" s="68"/>
      <c r="DF105" s="48">
        <f t="shared" si="90"/>
        <v>720</v>
      </c>
      <c r="DG105" s="48">
        <f t="shared" si="91"/>
        <v>-23854</v>
      </c>
      <c r="DH105" s="48">
        <f t="shared" si="92"/>
        <v>-1988</v>
      </c>
      <c r="DI105" s="48" t="str">
        <f t="shared" si="93"/>
        <v>Nam dưới 35</v>
      </c>
      <c r="DJ105" s="48"/>
      <c r="DK105" s="48"/>
      <c r="DL105" s="53" t="str">
        <f t="shared" si="94"/>
        <v>Đến 30</v>
      </c>
      <c r="DM105" s="61" t="str">
        <f t="shared" si="104"/>
        <v>--</v>
      </c>
      <c r="DN105" s="32"/>
      <c r="DO105" s="82"/>
      <c r="DP105" s="69"/>
      <c r="DQ105" s="32"/>
      <c r="DR105" s="32"/>
      <c r="DS105" s="70"/>
      <c r="DT105" s="37"/>
      <c r="DU105" s="71"/>
      <c r="DV105" s="84"/>
      <c r="DW105" s="33" t="s">
        <v>368</v>
      </c>
      <c r="DX105" s="315" t="s">
        <v>419</v>
      </c>
      <c r="DY105" s="33" t="s">
        <v>368</v>
      </c>
      <c r="DZ105" s="148" t="s">
        <v>341</v>
      </c>
      <c r="EA105" s="45" t="s">
        <v>359</v>
      </c>
      <c r="EB105" s="143" t="s">
        <v>347</v>
      </c>
      <c r="EC105" s="45" t="s">
        <v>359</v>
      </c>
      <c r="ED105" s="72">
        <v>2013</v>
      </c>
      <c r="EE105" s="45">
        <f t="shared" si="96"/>
        <v>0</v>
      </c>
      <c r="EF105" s="73" t="str">
        <f t="shared" si="97"/>
        <v>- - -</v>
      </c>
      <c r="EG105" s="148" t="s">
        <v>341</v>
      </c>
      <c r="EH105" s="45" t="s">
        <v>359</v>
      </c>
      <c r="EI105" s="143" t="s">
        <v>347</v>
      </c>
      <c r="EJ105" s="45" t="s">
        <v>359</v>
      </c>
      <c r="EK105" s="72">
        <v>2013</v>
      </c>
      <c r="EL105" s="31"/>
      <c r="EM105" s="51" t="str">
        <f>IF(AND(BE105&gt;0.34,AO105=1,OR(BD105=6.2,BD105=5.75)),((BD105-EL105)-2*0.34),IF(AND(BE105&gt;0.33,AO105=1,OR(BD105=4.4,BD105=4)),((BD105-EL105)-2*0.33),"- - -"))</f>
        <v>- - -</v>
      </c>
      <c r="EN105" s="74" t="str">
        <f t="shared" si="99"/>
        <v>---</v>
      </c>
      <c r="EO105" s="84"/>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75"/>
      <c r="FN105" s="75"/>
      <c r="FO105" s="75"/>
      <c r="FP105" s="75"/>
      <c r="FQ105" s="75"/>
      <c r="FR105" s="75"/>
    </row>
    <row r="106" spans="1:174" s="244" customFormat="1" ht="13.5" customHeight="1" x14ac:dyDescent="0.2">
      <c r="A106" s="100">
        <v>535</v>
      </c>
      <c r="B106" s="296">
        <v>540</v>
      </c>
      <c r="C106" s="31"/>
      <c r="D106" s="31" t="str">
        <f t="shared" si="56"/>
        <v>Bà</v>
      </c>
      <c r="E106" s="37" t="s">
        <v>60</v>
      </c>
      <c r="F106" s="31" t="s">
        <v>380</v>
      </c>
      <c r="G106" s="60" t="s">
        <v>266</v>
      </c>
      <c r="H106" s="508" t="s">
        <v>359</v>
      </c>
      <c r="I106" s="60" t="s">
        <v>349</v>
      </c>
      <c r="J106" s="508" t="s">
        <v>359</v>
      </c>
      <c r="K106" s="37">
        <v>1967</v>
      </c>
      <c r="L106" s="157" t="s">
        <v>434</v>
      </c>
      <c r="M106" s="526" t="str">
        <f t="shared" si="57"/>
        <v>NLĐ</v>
      </c>
      <c r="N106" s="163" t="s">
        <v>331</v>
      </c>
      <c r="O106" s="509" t="e">
        <f t="shared" si="58"/>
        <v>#N/A</v>
      </c>
      <c r="P106" s="37"/>
      <c r="Q106" s="296" t="e">
        <f>VLOOKUP(P106,'[1]- DLiêu Gốc (Không sửa)'!$C$2:$H$116,2,0)</f>
        <v>#N/A</v>
      </c>
      <c r="R106" s="37" t="s">
        <v>368</v>
      </c>
      <c r="S106" s="190" t="s">
        <v>419</v>
      </c>
      <c r="T106" s="35" t="str">
        <f>VLOOKUP(Y106,'- DLiêu Gốc -'!$C$2:$H$60,5,0)</f>
        <v>B</v>
      </c>
      <c r="U106" s="36" t="str">
        <f>VLOOKUP(Y106,'- DLiêu Gốc -'!$C$2:$H$60,6,0)</f>
        <v>- - -</v>
      </c>
      <c r="V106" s="537" t="s">
        <v>425</v>
      </c>
      <c r="W106" s="295" t="str">
        <f t="shared" si="59"/>
        <v>Y sĩ (hạng IV)</v>
      </c>
      <c r="X106" s="298" t="str">
        <f t="shared" si="60"/>
        <v>V.08.01.04</v>
      </c>
      <c r="Y106" s="317" t="s">
        <v>521</v>
      </c>
      <c r="Z106" s="317" t="str">
        <f>VLOOKUP(Y106,'- DLiêu Gốc -'!$C$1:$H$133,2,0)</f>
        <v>V.08.01.04</v>
      </c>
      <c r="AA106" s="48" t="str">
        <f t="shared" si="61"/>
        <v>Lương</v>
      </c>
      <c r="AB106" s="139">
        <v>12</v>
      </c>
      <c r="AC106" s="407" t="str">
        <f>IF(AD106&gt;0,"/")</f>
        <v>/</v>
      </c>
      <c r="AD106" s="39">
        <f>IF(OR(BE106=0.18,BE106=0.2),12,IF(BE106=0.31,10,IF(BE106=0.33,9,IF(BE106=0.34,8,IF(BE106=0.36,6)))))</f>
        <v>12</v>
      </c>
      <c r="AE106" s="40">
        <f t="shared" si="62"/>
        <v>4.0600000000000005</v>
      </c>
      <c r="AF106" s="41">
        <v>7</v>
      </c>
      <c r="AG106" s="333" t="str">
        <f>IF(AD106=AB106,"%",IF(AD106&gt;AB106,"/"))</f>
        <v>%</v>
      </c>
      <c r="AH106" s="396"/>
      <c r="AI106" s="445"/>
      <c r="AJ106" s="102"/>
      <c r="AK106" s="405"/>
      <c r="AL106" s="406"/>
      <c r="AM106" s="126"/>
      <c r="AN106" s="49"/>
      <c r="AO106" s="440"/>
      <c r="AP106" s="442"/>
      <c r="AQ106" s="438"/>
      <c r="AR106" s="423">
        <f>IF(AND(AD106=AB106,AF106=0),5,IF(AND(AD106=AB106,AF106&gt;4),AF106+1,IF(AD106&gt;AB106,AD106)))</f>
        <v>8</v>
      </c>
      <c r="AS106" s="333" t="str">
        <f>IF(AD106=AB106,"%",IF(AD106&gt;AB106,AE106+BE106))</f>
        <v>%</v>
      </c>
      <c r="AT106" s="44" t="s">
        <v>341</v>
      </c>
      <c r="AU106" s="404" t="s">
        <v>359</v>
      </c>
      <c r="AV106" s="45" t="s">
        <v>341</v>
      </c>
      <c r="AW106" s="395" t="s">
        <v>359</v>
      </c>
      <c r="AX106" s="46">
        <v>2021</v>
      </c>
      <c r="AY106" s="123"/>
      <c r="AZ106" s="388"/>
      <c r="BA106" s="392">
        <v>1.18</v>
      </c>
      <c r="BB106" s="47">
        <f t="shared" si="67"/>
        <v>1</v>
      </c>
      <c r="BC106" s="253">
        <f t="shared" si="68"/>
        <v>-24253</v>
      </c>
      <c r="BD106" s="205">
        <f>VLOOKUP(Y106,'- DLiêu Gốc -'!$C$1:$F$60,3,0)</f>
        <v>1.86</v>
      </c>
      <c r="BE106" s="205">
        <f>VLOOKUP(Y106,'- DLiêu Gốc -'!$C$1:$F$60,4,0)</f>
        <v>0.2</v>
      </c>
      <c r="BF106" s="53" t="str">
        <f t="shared" si="69"/>
        <v>o-o-o</v>
      </c>
      <c r="BG106" s="54"/>
      <c r="BH106" s="343"/>
      <c r="BI106" s="342"/>
      <c r="BJ106" s="400"/>
      <c r="BK106" s="336"/>
      <c r="BL106" s="400"/>
      <c r="BM106" s="101"/>
      <c r="BN106" s="126"/>
      <c r="BO106" s="58"/>
      <c r="BP106" s="55"/>
      <c r="BQ106" s="346"/>
      <c r="BR106" s="56"/>
      <c r="BS106" s="395"/>
      <c r="BT106" s="337"/>
      <c r="BU106" s="395"/>
      <c r="BV106" s="46"/>
      <c r="BW106" s="57"/>
      <c r="BX106" s="125"/>
      <c r="BY106" s="254" t="str">
        <f t="shared" si="70"/>
        <v>- - -</v>
      </c>
      <c r="BZ106" s="53" t="str">
        <f t="shared" si="71"/>
        <v>- - -</v>
      </c>
      <c r="CA106" s="316" t="str">
        <f t="shared" si="72"/>
        <v>Chánh Văn phòng Học viện, Trưởng Ban Tổ chức - Cán bộ</v>
      </c>
      <c r="CB106" s="59" t="str">
        <f t="shared" si="73"/>
        <v>A</v>
      </c>
      <c r="CC106" s="38" t="str">
        <f>IF(AND(AF106&gt;0,AB106&lt;(AD106-1),CD106&gt;0,CD106&lt;13,OR(AND(CJ106="Cùg Ng",($CC$2-CF106)&gt;BB106),CJ106="- - -")),"Sớm TT","=&gt; s")</f>
        <v>=&gt; s</v>
      </c>
      <c r="CD106" s="48" t="str">
        <f t="shared" si="75"/>
        <v>---</v>
      </c>
      <c r="CE106" s="31" t="str">
        <f t="shared" si="76"/>
        <v>S</v>
      </c>
      <c r="CF106" s="31">
        <v>2012</v>
      </c>
      <c r="CG106" s="303" t="s">
        <v>171</v>
      </c>
      <c r="CH106" s="31"/>
      <c r="CI106" s="93"/>
      <c r="CJ106" s="31" t="str">
        <f t="shared" si="77"/>
        <v>- - -</v>
      </c>
      <c r="CK106" s="51" t="str">
        <f t="shared" si="78"/>
        <v>- - -</v>
      </c>
      <c r="CL106" s="61"/>
      <c r="CM106" s="62"/>
      <c r="CN106" s="61"/>
      <c r="CO106" s="76"/>
      <c r="CP106" s="51" t="str">
        <f t="shared" si="79"/>
        <v>- - -</v>
      </c>
      <c r="CQ106" s="61"/>
      <c r="CR106" s="62"/>
      <c r="CS106" s="61"/>
      <c r="CT106" s="76"/>
      <c r="CU106" s="65" t="str">
        <f t="shared" si="80"/>
        <v>---</v>
      </c>
      <c r="CV106" s="66" t="str">
        <f t="shared" si="81"/>
        <v>/-/ /-/</v>
      </c>
      <c r="CW106" s="63">
        <f t="shared" si="82"/>
        <v>1</v>
      </c>
      <c r="CX106" s="64">
        <f t="shared" si="83"/>
        <v>2023</v>
      </c>
      <c r="CY106" s="63">
        <f t="shared" si="84"/>
        <v>10</v>
      </c>
      <c r="CZ106" s="64">
        <f t="shared" si="85"/>
        <v>2022</v>
      </c>
      <c r="DA106" s="63">
        <f t="shared" si="86"/>
        <v>7</v>
      </c>
      <c r="DB106" s="64">
        <f t="shared" si="87"/>
        <v>2022</v>
      </c>
      <c r="DC106" s="67" t="str">
        <f t="shared" si="88"/>
        <v>- - -</v>
      </c>
      <c r="DD106" s="68" t="str">
        <f t="shared" si="89"/>
        <v>. .</v>
      </c>
      <c r="DE106" s="68"/>
      <c r="DF106" s="48">
        <f t="shared" si="90"/>
        <v>660</v>
      </c>
      <c r="DG106" s="48">
        <f t="shared" si="91"/>
        <v>-23604</v>
      </c>
      <c r="DH106" s="48">
        <f t="shared" si="92"/>
        <v>-1967</v>
      </c>
      <c r="DI106" s="48" t="str">
        <f t="shared" si="93"/>
        <v>Nữ dưới 30</v>
      </c>
      <c r="DJ106" s="48"/>
      <c r="DK106" s="48"/>
      <c r="DL106" s="53" t="str">
        <f t="shared" si="94"/>
        <v>Đến 30</v>
      </c>
      <c r="DM106" s="61" t="str">
        <f t="shared" si="104"/>
        <v>--</v>
      </c>
      <c r="DN106" s="32"/>
      <c r="DO106" s="82"/>
      <c r="DP106" s="52"/>
      <c r="DQ106" s="76"/>
      <c r="DR106" s="76"/>
      <c r="DS106" s="77"/>
      <c r="DT106" s="78"/>
      <c r="DU106" s="71"/>
      <c r="DV106" s="84"/>
      <c r="DW106" s="33" t="s">
        <v>368</v>
      </c>
      <c r="DX106" s="315" t="s">
        <v>419</v>
      </c>
      <c r="DY106" s="33" t="s">
        <v>368</v>
      </c>
      <c r="DZ106" s="148" t="s">
        <v>341</v>
      </c>
      <c r="EA106" s="45" t="s">
        <v>359</v>
      </c>
      <c r="EB106" s="143" t="s">
        <v>341</v>
      </c>
      <c r="EC106" s="45" t="s">
        <v>359</v>
      </c>
      <c r="ED106" s="72">
        <v>2014</v>
      </c>
      <c r="EE106" s="45">
        <f t="shared" si="96"/>
        <v>0</v>
      </c>
      <c r="EF106" s="73" t="str">
        <f t="shared" si="97"/>
        <v>- - -</v>
      </c>
      <c r="EG106" s="148" t="s">
        <v>341</v>
      </c>
      <c r="EH106" s="45" t="s">
        <v>359</v>
      </c>
      <c r="EI106" s="143" t="s">
        <v>341</v>
      </c>
      <c r="EJ106" s="45" t="s">
        <v>359</v>
      </c>
      <c r="EK106" s="72">
        <v>2014</v>
      </c>
      <c r="EL106" s="31"/>
      <c r="EM106" s="51" t="str">
        <f>IF(AND(BE106&gt;0.34,AF106=1,OR(BD106=6.2,BD106=5.75)),((BD106-EL106)-2*0.34),IF(AND(BE106&gt;0.33,AF106=1,OR(BD106=4.4,BD106=4)),((BD106-EL106)-2*0.33),"- - -"))</f>
        <v>- - -</v>
      </c>
      <c r="EN106" s="74" t="str">
        <f t="shared" si="99"/>
        <v>---</v>
      </c>
      <c r="EO106" s="84"/>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248"/>
      <c r="FO106" s="248"/>
      <c r="FP106" s="248"/>
      <c r="FQ106" s="248"/>
      <c r="FR106" s="248"/>
    </row>
    <row r="107" spans="1:174" s="171" customFormat="1" ht="11.25" customHeight="1" x14ac:dyDescent="0.25">
      <c r="A107" s="100">
        <v>587</v>
      </c>
      <c r="B107" s="296">
        <v>16</v>
      </c>
      <c r="C107" s="31"/>
      <c r="D107" s="31" t="str">
        <f t="shared" si="56"/>
        <v>Bà</v>
      </c>
      <c r="E107" s="37" t="s">
        <v>383</v>
      </c>
      <c r="F107" s="31" t="s">
        <v>380</v>
      </c>
      <c r="G107" s="60" t="s">
        <v>269</v>
      </c>
      <c r="H107" s="508" t="s">
        <v>359</v>
      </c>
      <c r="I107" s="60" t="s">
        <v>346</v>
      </c>
      <c r="J107" s="508" t="s">
        <v>359</v>
      </c>
      <c r="K107" s="37">
        <v>1981</v>
      </c>
      <c r="L107" s="157" t="s">
        <v>451</v>
      </c>
      <c r="M107" s="526" t="str">
        <f t="shared" si="57"/>
        <v>VC</v>
      </c>
      <c r="N107" s="163"/>
      <c r="O107" s="509" t="str">
        <f t="shared" si="58"/>
        <v>- -</v>
      </c>
      <c r="P107" s="37"/>
      <c r="Q107" s="296">
        <f>VLOOKUP(P107,'[2]- DLiêu Gốc -'!$B$2:$G$120,2,0)</f>
        <v>0</v>
      </c>
      <c r="R107" s="83" t="s">
        <v>318</v>
      </c>
      <c r="S107" s="1258" t="s">
        <v>568</v>
      </c>
      <c r="T107" s="35" t="str">
        <f>VLOOKUP(Y107,'[2]- DLiêu Gốc -'!$B$2:$G$54,5,0)</f>
        <v>A1</v>
      </c>
      <c r="U107" s="36" t="str">
        <f>VLOOKUP(Y107,'[2]- DLiêu Gốc -'!$B$2:$G$54,6,0)</f>
        <v>- - -</v>
      </c>
      <c r="V107" s="537" t="s">
        <v>425</v>
      </c>
      <c r="W107" s="295" t="str">
        <f t="shared" si="59"/>
        <v>Chuyên viên</v>
      </c>
      <c r="X107" s="298" t="str">
        <f t="shared" si="60"/>
        <v>01.003</v>
      </c>
      <c r="Y107" s="317" t="s">
        <v>339</v>
      </c>
      <c r="Z107" s="317" t="str">
        <f>VLOOKUP(Y107,'- DLiêu Gốc -'!$C$1:$H$133,2,0)</f>
        <v>01.003</v>
      </c>
      <c r="AA107" s="48" t="str">
        <f t="shared" si="61"/>
        <v>Lương</v>
      </c>
      <c r="AB107" s="139">
        <v>5</v>
      </c>
      <c r="AC107" s="407" t="s">
        <v>359</v>
      </c>
      <c r="AD107" s="39">
        <v>9</v>
      </c>
      <c r="AE107" s="50">
        <f t="shared" si="62"/>
        <v>3.66</v>
      </c>
      <c r="AF107" s="331"/>
      <c r="AG107" s="331"/>
      <c r="AH107" s="421"/>
      <c r="AI107" s="445" t="s">
        <v>359</v>
      </c>
      <c r="AJ107" s="42"/>
      <c r="AK107" s="405" t="s">
        <v>359</v>
      </c>
      <c r="AL107" s="422"/>
      <c r="AM107" s="126"/>
      <c r="AN107" s="49"/>
      <c r="AO107" s="41">
        <f t="shared" ref="AO107:AO113" si="105">AB107+1</f>
        <v>6</v>
      </c>
      <c r="AP107" s="401" t="str">
        <f t="shared" ref="AP107:AP113" si="106">IF(AD107=AB107,"%",IF(AD107&gt;AB107,"/"))</f>
        <v>/</v>
      </c>
      <c r="AQ107" s="80">
        <f t="shared" ref="AQ107:AQ113" si="107">IF(AND(AD107=AB107,AO107=4),5,IF(AND(AD107=AB107,AO107&gt;4),AO107+1,IF(AD107&gt;AB107,AD107)))</f>
        <v>9</v>
      </c>
      <c r="AR107" s="43">
        <f t="shared" ref="AR107:AR113" si="108">IF(AD107=AB107,"%",IF(AD107&gt;AB107,AE107+BE107))</f>
        <v>3.99</v>
      </c>
      <c r="AS107" s="333"/>
      <c r="AT107" s="44" t="s">
        <v>341</v>
      </c>
      <c r="AU107" s="404" t="s">
        <v>359</v>
      </c>
      <c r="AV107" s="45" t="s">
        <v>341</v>
      </c>
      <c r="AW107" s="395" t="s">
        <v>359</v>
      </c>
      <c r="AX107" s="46">
        <v>2021</v>
      </c>
      <c r="AY107" s="123"/>
      <c r="AZ107" s="388"/>
      <c r="BA107" s="392">
        <v>1.18</v>
      </c>
      <c r="BB107" s="47">
        <f t="shared" si="67"/>
        <v>3</v>
      </c>
      <c r="BC107" s="253">
        <f t="shared" si="68"/>
        <v>-24253</v>
      </c>
      <c r="BD107" s="205">
        <f>VLOOKUP(Y107,'[2]- DLiêu Gốc -'!$B$1:$E$54,3,0)</f>
        <v>2.34</v>
      </c>
      <c r="BE107" s="205">
        <f>VLOOKUP(Y107,'[2]- DLiêu Gốc -'!$B$1:$E$54,4,0)</f>
        <v>0.33</v>
      </c>
      <c r="BF107" s="53" t="str">
        <f t="shared" si="69"/>
        <v>o-o-o</v>
      </c>
      <c r="BG107" s="54"/>
      <c r="BH107" s="343"/>
      <c r="BI107" s="342"/>
      <c r="BJ107" s="400"/>
      <c r="BK107" s="336"/>
      <c r="BL107" s="400"/>
      <c r="BM107" s="101"/>
      <c r="BN107" s="126"/>
      <c r="BO107" s="58"/>
      <c r="BP107" s="55"/>
      <c r="BQ107" s="346"/>
      <c r="BR107" s="56"/>
      <c r="BS107" s="395"/>
      <c r="BT107" s="337"/>
      <c r="BU107" s="395"/>
      <c r="BV107" s="46"/>
      <c r="BW107" s="87" t="s">
        <v>345</v>
      </c>
      <c r="BX107" s="125"/>
      <c r="BY107" s="254" t="str">
        <f t="shared" si="70"/>
        <v>- - -</v>
      </c>
      <c r="BZ107" s="53" t="str">
        <f t="shared" si="71"/>
        <v>- - -</v>
      </c>
      <c r="CA107" s="316" t="str">
        <f t="shared" si="72"/>
        <v>Chánh Văn phòng Học viện, Trưởng Ban Tổ chức - Cán bộ, Trưởng Phân viện Học viện Hành chính Quốc gia tại thành phố Huế</v>
      </c>
      <c r="CB107" s="59" t="str">
        <f t="shared" si="73"/>
        <v>A</v>
      </c>
      <c r="CC107" s="38" t="str">
        <f t="shared" ref="CC107:CC113" si="109">IF(AND(AO107&gt;0,AB107&lt;(AD107-1),CD107&gt;0,CD107&lt;13,OR(AND(CJ107="Cùg Ng",($CC$2-CF107)&gt;BB107),CJ107="- - -")),"Sớm TT","=&gt; s")</f>
        <v>=&gt; s</v>
      </c>
      <c r="CD107" s="48">
        <f t="shared" si="75"/>
        <v>24277</v>
      </c>
      <c r="CE107" s="31" t="str">
        <f t="shared" si="76"/>
        <v>---</v>
      </c>
      <c r="CF107" s="31"/>
      <c r="CG107" s="303"/>
      <c r="CH107" s="31"/>
      <c r="CI107" s="31"/>
      <c r="CJ107" s="31" t="str">
        <f t="shared" si="77"/>
        <v>- - -</v>
      </c>
      <c r="CK107" s="51" t="str">
        <f t="shared" si="78"/>
        <v>- - -</v>
      </c>
      <c r="CL107" s="61"/>
      <c r="CM107" s="62"/>
      <c r="CN107" s="61"/>
      <c r="CO107" s="76"/>
      <c r="CP107" s="51" t="str">
        <f t="shared" si="79"/>
        <v>- - -</v>
      </c>
      <c r="CQ107" s="61"/>
      <c r="CR107" s="304"/>
      <c r="CS107" s="61"/>
      <c r="CT107" s="76"/>
      <c r="CU107" s="65" t="str">
        <f>IF(AND(CV107="Hưu",AB107&lt;(AD107-1),DC107&gt;0,DC107&lt;18,OR(BG107&lt;4,AND(BG107&gt;3,OR(BZ107&lt;3,BZ107&gt;5)))),"Lg Sớm",IF(AND(CV107="Hưu",AB107&gt;(AD107-2),OR(BE107=0.33,BE107=0.34),OR(BG107&lt;4,AND(BG107&gt;3,OR(BZ107&lt;3,BZ107&gt;5)))),"Nâng Ngạch??",IF(AND(CV107="Hưu",BB107=1,DC107&gt;2,DC107&lt;6,OR(BG107&lt;4,AND(BG107&gt;3,OR(BZ107&lt;3,BZ107&gt;5)))),"Nâng PcVK cùng QĐ",IF(AND(CV107="Hưu",BG107&gt;3,BZ107&gt;2,BZ107&lt;6,AB107&lt;(AD107-1),DC107&gt;17,OR(BB107&gt;1,AND(BB107=1,OR(DC107&lt;3,DC107&gt;5)))),"Nâng PcNG cùng QĐ",IF(AND(CV107="Hưu",AB107&lt;(AD107-1),DC107&gt;0,DC107&lt;18,BG107&gt;3,BZ107&gt;2,BZ107&lt;6),"Nâng Lg Sớm +(PcNG cùng QĐ)",IF(AND(CV107="Hưu",AB107&gt;(AD107-2),OR(BE107=0.33,BE107=0.34),BG107&gt;3,BZ107&gt;2,BZ107&lt;6),"Nâng Ngạch?? +(PcNG cùng QĐ)",IF(AND(CV107="Hưu",BB107=1,DC107&gt;2,DC107&lt;6,BG107&gt;3,BZ107&gt;2,BZ107&lt;6),"Nâng (PcVK +PcNG) cùng QĐ",("---"))))))))</f>
        <v>---</v>
      </c>
      <c r="CV107" s="66" t="str">
        <f t="shared" si="81"/>
        <v>/-/ /-/</v>
      </c>
      <c r="CW107" s="63">
        <f t="shared" si="82"/>
        <v>4</v>
      </c>
      <c r="CX107" s="64">
        <f t="shared" si="83"/>
        <v>2036</v>
      </c>
      <c r="CY107" s="63">
        <f t="shared" si="84"/>
        <v>1</v>
      </c>
      <c r="CZ107" s="64">
        <f t="shared" si="85"/>
        <v>2036</v>
      </c>
      <c r="DA107" s="63">
        <f t="shared" si="86"/>
        <v>10</v>
      </c>
      <c r="DB107" s="64">
        <f t="shared" si="87"/>
        <v>2035</v>
      </c>
      <c r="DC107" s="67" t="str">
        <f t="shared" si="88"/>
        <v>- - -</v>
      </c>
      <c r="DD107" s="68" t="str">
        <f t="shared" si="89"/>
        <v>. .</v>
      </c>
      <c r="DE107" s="68"/>
      <c r="DF107" s="48">
        <f t="shared" si="90"/>
        <v>660</v>
      </c>
      <c r="DG107" s="48">
        <f t="shared" si="91"/>
        <v>-23763</v>
      </c>
      <c r="DH107" s="48">
        <f t="shared" si="92"/>
        <v>-1981</v>
      </c>
      <c r="DI107" s="48" t="str">
        <f t="shared" si="93"/>
        <v>Nữ dưới 30</v>
      </c>
      <c r="DJ107" s="48"/>
      <c r="DK107" s="48"/>
      <c r="DL107" s="53" t="str">
        <f t="shared" si="94"/>
        <v>Đến 30</v>
      </c>
      <c r="DM107" s="61" t="str">
        <f t="shared" si="104"/>
        <v>--</v>
      </c>
      <c r="DN107" s="32"/>
      <c r="DO107" s="88"/>
      <c r="DP107" s="69"/>
      <c r="DQ107" s="32"/>
      <c r="DR107" s="76"/>
      <c r="DS107" s="77"/>
      <c r="DT107" s="78"/>
      <c r="DU107" s="71"/>
      <c r="DV107" s="84"/>
      <c r="DW107" s="124" t="s">
        <v>318</v>
      </c>
      <c r="DX107" s="315" t="s">
        <v>417</v>
      </c>
      <c r="DY107" s="124" t="s">
        <v>318</v>
      </c>
      <c r="DZ107" s="148" t="s">
        <v>341</v>
      </c>
      <c r="EA107" s="45" t="s">
        <v>359</v>
      </c>
      <c r="EB107" s="143" t="s">
        <v>341</v>
      </c>
      <c r="EC107" s="45" t="s">
        <v>359</v>
      </c>
      <c r="ED107" s="72" t="s">
        <v>377</v>
      </c>
      <c r="EE107" s="45">
        <f t="shared" si="96"/>
        <v>0</v>
      </c>
      <c r="EF107" s="73" t="str">
        <f t="shared" si="97"/>
        <v>- - -</v>
      </c>
      <c r="EG107" s="148" t="s">
        <v>341</v>
      </c>
      <c r="EH107" s="45" t="s">
        <v>359</v>
      </c>
      <c r="EI107" s="143" t="s">
        <v>341</v>
      </c>
      <c r="EJ107" s="45" t="s">
        <v>359</v>
      </c>
      <c r="EK107" s="72" t="s">
        <v>377</v>
      </c>
      <c r="EL107" s="31"/>
      <c r="EM107" s="51" t="str">
        <f t="shared" ref="EM107:EM113" si="110">IF(AND(BE107&gt;0.34,AO107=1,OR(BD107=6.2,BD107=5.75)),((BD107-EL107)-2*0.34),IF(AND(BE107&gt;0.33,AO107=1,OR(BD107=4.4,BD107=4)),((BD107-EL107)-2*0.33),"- - -"))</f>
        <v>- - -</v>
      </c>
      <c r="EN107" s="74" t="str">
        <f t="shared" si="99"/>
        <v>---</v>
      </c>
      <c r="EO107" s="84"/>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row>
    <row r="108" spans="1:174" s="171" customFormat="1" ht="11.25" customHeight="1" x14ac:dyDescent="0.25">
      <c r="A108" s="100">
        <v>625</v>
      </c>
      <c r="B108" s="296">
        <v>11</v>
      </c>
      <c r="C108" s="31"/>
      <c r="D108" s="523" t="str">
        <f t="shared" si="56"/>
        <v>Ông</v>
      </c>
      <c r="E108" s="524" t="s">
        <v>463</v>
      </c>
      <c r="F108" s="523" t="s">
        <v>378</v>
      </c>
      <c r="G108" s="510" t="s">
        <v>11</v>
      </c>
      <c r="H108" s="179" t="s">
        <v>359</v>
      </c>
      <c r="I108" s="510" t="s">
        <v>376</v>
      </c>
      <c r="J108" s="179" t="s">
        <v>359</v>
      </c>
      <c r="K108" s="524">
        <v>1992</v>
      </c>
      <c r="L108" s="157" t="s">
        <v>434</v>
      </c>
      <c r="M108" s="526" t="str">
        <f t="shared" si="57"/>
        <v>NLĐ</v>
      </c>
      <c r="N108" s="163"/>
      <c r="O108" s="509" t="e">
        <f t="shared" si="58"/>
        <v>#N/A</v>
      </c>
      <c r="P108" s="524"/>
      <c r="Q108" s="296" t="e">
        <f>VLOOKUP(P108,'[1]- DLiêu Gốc (Không sửa)'!$C$2:$H$116,2,0)</f>
        <v>#N/A</v>
      </c>
      <c r="R108" s="524" t="s">
        <v>640</v>
      </c>
      <c r="S108" s="516" t="s">
        <v>569</v>
      </c>
      <c r="T108" s="150" t="str">
        <f>VLOOKUP(Y108,'- DLiêu Gốc -'!$C$2:$H$60,5,0)</f>
        <v>A1</v>
      </c>
      <c r="U108" s="151" t="str">
        <f>VLOOKUP(Y108,'- DLiêu Gốc -'!$C$2:$H$60,6,0)</f>
        <v>- - -</v>
      </c>
      <c r="V108" s="537" t="s">
        <v>425</v>
      </c>
      <c r="W108" s="295" t="str">
        <f t="shared" si="59"/>
        <v>Chuyên viên</v>
      </c>
      <c r="X108" s="537" t="str">
        <f t="shared" si="60"/>
        <v>01.003</v>
      </c>
      <c r="Y108" s="317" t="s">
        <v>339</v>
      </c>
      <c r="Z108" s="317" t="str">
        <f>VLOOKUP(Y108,'- DLiêu Gốc -'!$C$1:$H$133,2,0)</f>
        <v>01.003</v>
      </c>
      <c r="AA108" s="526" t="str">
        <f t="shared" si="61"/>
        <v>Lương</v>
      </c>
      <c r="AB108" s="152">
        <v>1</v>
      </c>
      <c r="AC108" s="409" t="s">
        <v>359</v>
      </c>
      <c r="AD108" s="153">
        <v>9</v>
      </c>
      <c r="AE108" s="527">
        <f t="shared" si="62"/>
        <v>2.34</v>
      </c>
      <c r="AF108" s="330"/>
      <c r="AG108" s="330"/>
      <c r="AH108" s="444"/>
      <c r="AI108" s="445" t="s">
        <v>359</v>
      </c>
      <c r="AJ108" s="155"/>
      <c r="AK108" s="405" t="s">
        <v>359</v>
      </c>
      <c r="AL108" s="760"/>
      <c r="AM108" s="531"/>
      <c r="AN108" s="159"/>
      <c r="AO108" s="154">
        <f t="shared" si="105"/>
        <v>2</v>
      </c>
      <c r="AP108" s="410" t="str">
        <f t="shared" si="106"/>
        <v>/</v>
      </c>
      <c r="AQ108" s="156">
        <f t="shared" si="107"/>
        <v>9</v>
      </c>
      <c r="AR108" s="157">
        <f t="shared" si="108"/>
        <v>2.67</v>
      </c>
      <c r="AS108" s="335"/>
      <c r="AT108" s="528" t="s">
        <v>341</v>
      </c>
      <c r="AU108" s="411"/>
      <c r="AV108" s="529" t="s">
        <v>341</v>
      </c>
      <c r="AW108" s="562" t="s">
        <v>359</v>
      </c>
      <c r="AX108" s="46">
        <v>2021</v>
      </c>
      <c r="AY108" s="430"/>
      <c r="AZ108" s="1445" t="s">
        <v>464</v>
      </c>
      <c r="BA108" s="391"/>
      <c r="BB108" s="530">
        <f t="shared" si="67"/>
        <v>3</v>
      </c>
      <c r="BC108" s="253">
        <f t="shared" si="68"/>
        <v>-24253</v>
      </c>
      <c r="BD108" s="205">
        <f>VLOOKUP(Y108,'- DLiêu Gốc -'!$C$1:$F$60,3,0)</f>
        <v>2.34</v>
      </c>
      <c r="BE108" s="205">
        <f>VLOOKUP(Y108,'- DLiêu Gốc -'!$C$1:$F$60,4,0)</f>
        <v>0.33</v>
      </c>
      <c r="BF108" s="532" t="str">
        <f t="shared" si="69"/>
        <v>o-o-o</v>
      </c>
      <c r="BG108" s="533"/>
      <c r="BH108" s="561"/>
      <c r="BI108" s="342"/>
      <c r="BJ108" s="400"/>
      <c r="BK108" s="336"/>
      <c r="BL108" s="400"/>
      <c r="BM108" s="101"/>
      <c r="BN108" s="531"/>
      <c r="BO108" s="1447"/>
      <c r="BP108" s="534"/>
      <c r="BQ108" s="347"/>
      <c r="BR108" s="56"/>
      <c r="BS108" s="562"/>
      <c r="BT108" s="338"/>
      <c r="BU108" s="562"/>
      <c r="BV108" s="555"/>
      <c r="BW108" s="557"/>
      <c r="BX108" s="538"/>
      <c r="BY108" s="254" t="str">
        <f t="shared" si="70"/>
        <v>- - -</v>
      </c>
      <c r="BZ108" s="532" t="str">
        <f>IF(BH108&gt;3,(($BG$2-BW108)*12+($BG$4-BU108)-BO108),"- - -")</f>
        <v>- - -</v>
      </c>
      <c r="CA108" s="316" t="str">
        <f t="shared" si="72"/>
        <v>Chánh Văn phòng Học viện, Trưởng Ban Tổ chức - Cán bộ, Trưởng Phân viện Học viện Hành chính Quốc gia khu vực Tây Nguyên</v>
      </c>
      <c r="CB108" s="535" t="str">
        <f t="shared" si="73"/>
        <v>A</v>
      </c>
      <c r="CC108" s="536" t="str">
        <f t="shared" si="109"/>
        <v>=&gt; s</v>
      </c>
      <c r="CD108" s="526">
        <f t="shared" si="75"/>
        <v>24277</v>
      </c>
      <c r="CE108" s="523" t="str">
        <f t="shared" si="76"/>
        <v>---</v>
      </c>
      <c r="CF108" s="523"/>
      <c r="CG108" s="307"/>
      <c r="CH108" s="523"/>
      <c r="CI108" s="523"/>
      <c r="CJ108" s="523" t="str">
        <f t="shared" si="77"/>
        <v>- - -</v>
      </c>
      <c r="CK108" s="538" t="str">
        <f t="shared" si="78"/>
        <v>- - -</v>
      </c>
      <c r="CL108" s="539"/>
      <c r="CM108" s="540"/>
      <c r="CN108" s="539"/>
      <c r="CO108" s="541"/>
      <c r="CP108" s="538" t="str">
        <f t="shared" si="79"/>
        <v>- - -</v>
      </c>
      <c r="CQ108" s="539"/>
      <c r="CR108" s="540"/>
      <c r="CS108" s="539"/>
      <c r="CT108" s="541"/>
      <c r="CU108" s="542" t="str">
        <f t="shared" ref="CU108:CU116" si="111">IF(AND(CV108="Hưu",AB108&lt;(AD108-1),DC108&gt;0,DC108&lt;18,OR(BG108&lt;4,AND(BG108&gt;3,OR(BZ108&lt;3,BZ108&gt;5)))),"Lg Sớm",IF(AND(CV108="Hưu",AB108&gt;(AD108-2),OR(BE108=0.33,BE108=0.34),OR(BG108&lt;4,AND(BG108&gt;3,OR(BZ108&lt;3,BZ108&gt;5)))),"Nâng Ngạch",IF(AND(CV108="Hưu",BB108=1,DC108&gt;2,DC108&lt;6,OR(BG108&lt;4,AND(BG108&gt;3,OR(BZ108&lt;3,BZ108&gt;5)))),"Nâng PcVK cùng QĐ",IF(AND(CV108="Hưu",BG108&gt;3,BZ108&gt;2,BZ108&lt;6,AB108&lt;(AD108-1),DC108&gt;17,OR(BB108&gt;1,AND(BB108=1,OR(DC108&lt;3,DC108&gt;5)))),"Nâng PcNG cùng QĐ",IF(AND(CV108="Hưu",AB108&lt;(AD108-1),DC108&gt;0,DC108&lt;18,BG108&gt;3,BZ108&gt;2,BZ108&lt;6),"Nâng Lg Sớm +(PcNG cùng QĐ)",IF(AND(CV108="Hưu",AB108&gt;(AD108-2),OR(BE108=0.33,BE108=0.34),BG108&gt;3,BZ108&gt;2,BZ108&lt;6),"Nâng Ngạch +(PcNG cùng QĐ)",IF(AND(CV108="Hưu",BB108=1,DC108&gt;2,DC108&lt;6,BG108&gt;3,BZ108&gt;2,BZ108&lt;6),"Nâng (PcVK +PcNG) cùng QĐ",("---"))))))))</f>
        <v>---</v>
      </c>
      <c r="CV108" s="559" t="str">
        <f t="shared" si="81"/>
        <v>/-/ /-/</v>
      </c>
      <c r="CW108" s="543">
        <f t="shared" si="82"/>
        <v>5</v>
      </c>
      <c r="CX108" s="544">
        <f t="shared" si="83"/>
        <v>2052</v>
      </c>
      <c r="CY108" s="543">
        <f t="shared" si="84"/>
        <v>2</v>
      </c>
      <c r="CZ108" s="544">
        <f t="shared" si="85"/>
        <v>2052</v>
      </c>
      <c r="DA108" s="543">
        <f t="shared" si="86"/>
        <v>11</v>
      </c>
      <c r="DB108" s="544">
        <f t="shared" si="87"/>
        <v>2051</v>
      </c>
      <c r="DC108" s="545" t="str">
        <f t="shared" si="88"/>
        <v>- - -</v>
      </c>
      <c r="DD108" s="546" t="str">
        <f t="shared" si="89"/>
        <v>. .</v>
      </c>
      <c r="DE108" s="546"/>
      <c r="DF108" s="526">
        <f t="shared" si="90"/>
        <v>720</v>
      </c>
      <c r="DG108" s="526">
        <f t="shared" si="91"/>
        <v>-23896</v>
      </c>
      <c r="DH108" s="526">
        <f t="shared" si="92"/>
        <v>-1992</v>
      </c>
      <c r="DI108" s="526" t="str">
        <f t="shared" si="93"/>
        <v>Nam dưới 35</v>
      </c>
      <c r="DJ108" s="526"/>
      <c r="DK108" s="526"/>
      <c r="DL108" s="532" t="str">
        <f t="shared" si="94"/>
        <v>Đến 30</v>
      </c>
      <c r="DM108" s="539" t="str">
        <f t="shared" si="104"/>
        <v>--</v>
      </c>
      <c r="DN108" s="525"/>
      <c r="DO108" s="523"/>
      <c r="DP108" s="160"/>
      <c r="DQ108" s="541"/>
      <c r="DR108" s="541"/>
      <c r="DS108" s="547"/>
      <c r="DT108" s="548"/>
      <c r="DU108" s="549"/>
      <c r="DV108" s="550"/>
      <c r="DW108" s="165" t="s">
        <v>67</v>
      </c>
      <c r="DX108" s="315" t="s">
        <v>138</v>
      </c>
      <c r="DY108" s="165" t="s">
        <v>67</v>
      </c>
      <c r="DZ108" s="189" t="s">
        <v>266</v>
      </c>
      <c r="EA108" s="529" t="s">
        <v>359</v>
      </c>
      <c r="EB108" s="558" t="s">
        <v>345</v>
      </c>
      <c r="EC108" s="529" t="s">
        <v>359</v>
      </c>
      <c r="ED108" s="551">
        <v>2014</v>
      </c>
      <c r="EE108" s="529">
        <f t="shared" si="96"/>
        <v>15</v>
      </c>
      <c r="EF108" s="552" t="str">
        <f t="shared" si="97"/>
        <v>Sửa</v>
      </c>
      <c r="EG108" s="189" t="s">
        <v>341</v>
      </c>
      <c r="EH108" s="529" t="s">
        <v>359</v>
      </c>
      <c r="EI108" s="1448" t="s">
        <v>348</v>
      </c>
      <c r="EJ108" s="529" t="s">
        <v>359</v>
      </c>
      <c r="EK108" s="551">
        <v>2014</v>
      </c>
      <c r="EL108" s="523"/>
      <c r="EM108" s="538" t="str">
        <f t="shared" si="110"/>
        <v>- - -</v>
      </c>
      <c r="EN108" s="553" t="str">
        <f t="shared" si="99"/>
        <v>---</v>
      </c>
      <c r="EO108" s="550"/>
      <c r="EP108" s="554"/>
      <c r="EQ108" s="554"/>
      <c r="ER108" s="554"/>
      <c r="ES108" s="554"/>
      <c r="ET108" s="554"/>
      <c r="EU108" s="554"/>
      <c r="EV108" s="554"/>
      <c r="EW108" s="554"/>
      <c r="EX108" s="554"/>
      <c r="EY108" s="554"/>
      <c r="EZ108" s="554"/>
      <c r="FA108" s="554"/>
      <c r="FB108" s="554"/>
      <c r="FC108" s="554"/>
      <c r="FD108" s="554"/>
      <c r="FE108" s="554"/>
      <c r="FF108" s="554"/>
      <c r="FG108" s="554"/>
      <c r="FH108" s="554"/>
      <c r="FI108" s="554"/>
      <c r="FJ108" s="554"/>
      <c r="FK108" s="554"/>
      <c r="FL108" s="554"/>
      <c r="FM108" s="554"/>
      <c r="FN108" s="75"/>
      <c r="FO108" s="75"/>
      <c r="FP108" s="75"/>
      <c r="FQ108" s="75"/>
      <c r="FR108" s="75"/>
    </row>
    <row r="109" spans="1:174" s="171" customFormat="1" ht="11.25" customHeight="1" x14ac:dyDescent="0.25">
      <c r="A109" s="100">
        <v>640</v>
      </c>
      <c r="B109" s="296">
        <v>26</v>
      </c>
      <c r="C109" s="31"/>
      <c r="D109" s="31" t="str">
        <f t="shared" si="56"/>
        <v>Ông</v>
      </c>
      <c r="E109" s="37" t="s">
        <v>262</v>
      </c>
      <c r="F109" s="31" t="s">
        <v>378</v>
      </c>
      <c r="G109" s="60" t="s">
        <v>277</v>
      </c>
      <c r="H109" s="508" t="s">
        <v>359</v>
      </c>
      <c r="I109" s="60" t="s">
        <v>343</v>
      </c>
      <c r="J109" s="508" t="s">
        <v>359</v>
      </c>
      <c r="K109" s="37">
        <v>1963</v>
      </c>
      <c r="L109" s="157" t="s">
        <v>451</v>
      </c>
      <c r="M109" s="526" t="str">
        <f t="shared" si="57"/>
        <v>VC</v>
      </c>
      <c r="N109" s="163"/>
      <c r="O109" s="509" t="str">
        <f t="shared" si="58"/>
        <v>CVụ</v>
      </c>
      <c r="P109" s="37" t="s">
        <v>250</v>
      </c>
      <c r="Q109" s="296" t="str">
        <f>VLOOKUP(P109,'[1]- DLiêu Gốc (Không sửa)'!$C$2:$H$116,2,0)</f>
        <v>0,4</v>
      </c>
      <c r="R109" s="37" t="s">
        <v>592</v>
      </c>
      <c r="S109" s="516" t="s">
        <v>569</v>
      </c>
      <c r="T109" s="35" t="str">
        <f>VLOOKUP(Y109,'- DLiêu Gốc -'!$C$2:$H$60,5,0)</f>
        <v>A2</v>
      </c>
      <c r="U109" s="36" t="str">
        <f>VLOOKUP(Y109,'- DLiêu Gốc -'!$C$2:$H$60,6,0)</f>
        <v>A2.1</v>
      </c>
      <c r="V109" s="537" t="s">
        <v>425</v>
      </c>
      <c r="W109" s="1443" t="str">
        <f t="shared" si="59"/>
        <v>Chuyên viên chính</v>
      </c>
      <c r="X109" s="298" t="str">
        <f t="shared" si="60"/>
        <v>01.002</v>
      </c>
      <c r="Y109" s="317" t="s">
        <v>351</v>
      </c>
      <c r="Z109" s="317" t="str">
        <f>VLOOKUP(Y109,'- DLiêu Gốc -'!$C$1:$H$133,2,0)</f>
        <v>01.002</v>
      </c>
      <c r="AA109" s="48" t="str">
        <f t="shared" si="61"/>
        <v>Lương</v>
      </c>
      <c r="AB109" s="139">
        <v>3</v>
      </c>
      <c r="AC109" s="407" t="s">
        <v>359</v>
      </c>
      <c r="AD109" s="39">
        <v>8</v>
      </c>
      <c r="AE109" s="40">
        <f t="shared" si="62"/>
        <v>5.08</v>
      </c>
      <c r="AF109" s="329"/>
      <c r="AG109" s="329"/>
      <c r="AH109" s="396"/>
      <c r="AI109" s="445" t="s">
        <v>359</v>
      </c>
      <c r="AJ109" s="102"/>
      <c r="AK109" s="405" t="s">
        <v>359</v>
      </c>
      <c r="AL109" s="397"/>
      <c r="AM109" s="126"/>
      <c r="AN109" s="301"/>
      <c r="AO109" s="41">
        <f t="shared" si="105"/>
        <v>4</v>
      </c>
      <c r="AP109" s="401" t="str">
        <f t="shared" si="106"/>
        <v>/</v>
      </c>
      <c r="AQ109" s="80">
        <f t="shared" si="107"/>
        <v>8</v>
      </c>
      <c r="AR109" s="43">
        <f t="shared" si="108"/>
        <v>5.42</v>
      </c>
      <c r="AS109" s="333"/>
      <c r="AT109" s="44" t="s">
        <v>341</v>
      </c>
      <c r="AU109" s="404" t="s">
        <v>359</v>
      </c>
      <c r="AV109" s="45" t="s">
        <v>374</v>
      </c>
      <c r="AW109" s="403" t="s">
        <v>359</v>
      </c>
      <c r="AX109" s="46">
        <v>2021</v>
      </c>
      <c r="AY109" s="123"/>
      <c r="AZ109" s="1446"/>
      <c r="BA109" s="392">
        <v>1.18</v>
      </c>
      <c r="BB109" s="47">
        <f t="shared" si="67"/>
        <v>3</v>
      </c>
      <c r="BC109" s="253">
        <f t="shared" si="68"/>
        <v>-24253</v>
      </c>
      <c r="BD109" s="205">
        <f>VLOOKUP(Y109,'- DLiêu Gốc -'!$C$1:$F$60,3,0)</f>
        <v>4.4000000000000004</v>
      </c>
      <c r="BE109" s="205">
        <f>VLOOKUP(Y109,'- DLiêu Gốc -'!$C$1:$F$60,4,0)</f>
        <v>0.34</v>
      </c>
      <c r="BF109" s="53" t="str">
        <f t="shared" si="69"/>
        <v>o-o-o</v>
      </c>
      <c r="BG109" s="54"/>
      <c r="BH109" s="343"/>
      <c r="BI109" s="342"/>
      <c r="BJ109" s="400"/>
      <c r="BK109" s="336"/>
      <c r="BL109" s="400"/>
      <c r="BM109" s="101"/>
      <c r="BN109" s="126"/>
      <c r="BO109" s="58"/>
      <c r="BP109" s="55"/>
      <c r="BQ109" s="346"/>
      <c r="BR109" s="56"/>
      <c r="BS109" s="395"/>
      <c r="BT109" s="337"/>
      <c r="BU109" s="395"/>
      <c r="BV109" s="46"/>
      <c r="BW109" s="57"/>
      <c r="BX109" s="125"/>
      <c r="BY109" s="254" t="str">
        <f t="shared" si="70"/>
        <v>- - -</v>
      </c>
      <c r="BZ109" s="103" t="str">
        <f>IF(BH109&gt;3,(($BG$2-BW109)*12+($BG$4-BU109)-BO109),"- - -")</f>
        <v>- - -</v>
      </c>
      <c r="CA109" s="316" t="str">
        <f t="shared" si="72"/>
        <v>Chánh Văn phòng Học viện, Trưởng Ban Tổ chức - Cán bộ, Trưởng Phân viện Học viện Hành chính Quốc gia khu vực Tây Nguyên</v>
      </c>
      <c r="CB109" s="59" t="str">
        <f t="shared" si="73"/>
        <v>A</v>
      </c>
      <c r="CC109" s="38" t="str">
        <f t="shared" si="109"/>
        <v>=&gt; s</v>
      </c>
      <c r="CD109" s="48">
        <f t="shared" si="75"/>
        <v>24277</v>
      </c>
      <c r="CE109" s="31" t="str">
        <f t="shared" si="76"/>
        <v>---</v>
      </c>
      <c r="CF109" s="31"/>
      <c r="CG109" s="303"/>
      <c r="CH109" s="31"/>
      <c r="CI109" s="110"/>
      <c r="CJ109" s="31" t="str">
        <f t="shared" si="77"/>
        <v>- - -</v>
      </c>
      <c r="CK109" s="51" t="str">
        <f t="shared" si="78"/>
        <v>- - -</v>
      </c>
      <c r="CL109" s="61"/>
      <c r="CM109" s="62"/>
      <c r="CN109" s="61"/>
      <c r="CO109" s="76"/>
      <c r="CP109" s="51" t="str">
        <f t="shared" si="79"/>
        <v>- - -</v>
      </c>
      <c r="CQ109" s="61"/>
      <c r="CR109" s="62"/>
      <c r="CS109" s="61"/>
      <c r="CT109" s="76"/>
      <c r="CU109" s="65" t="str">
        <f t="shared" si="111"/>
        <v>---</v>
      </c>
      <c r="CV109" s="66" t="str">
        <f t="shared" si="81"/>
        <v>/-/ /-/</v>
      </c>
      <c r="CW109" s="63">
        <f t="shared" si="82"/>
        <v>6</v>
      </c>
      <c r="CX109" s="64">
        <f t="shared" si="83"/>
        <v>2023</v>
      </c>
      <c r="CY109" s="63">
        <f t="shared" si="84"/>
        <v>3</v>
      </c>
      <c r="CZ109" s="64">
        <f t="shared" si="85"/>
        <v>2023</v>
      </c>
      <c r="DA109" s="63">
        <f t="shared" si="86"/>
        <v>12</v>
      </c>
      <c r="DB109" s="64">
        <f t="shared" si="87"/>
        <v>2022</v>
      </c>
      <c r="DC109" s="67" t="str">
        <f t="shared" si="88"/>
        <v>- - -</v>
      </c>
      <c r="DD109" s="68" t="str">
        <f t="shared" si="89"/>
        <v>. .</v>
      </c>
      <c r="DE109" s="68"/>
      <c r="DF109" s="48">
        <f t="shared" si="90"/>
        <v>720</v>
      </c>
      <c r="DG109" s="48">
        <f t="shared" si="91"/>
        <v>-23549</v>
      </c>
      <c r="DH109" s="48">
        <f t="shared" si="92"/>
        <v>-1963</v>
      </c>
      <c r="DI109" s="48" t="str">
        <f t="shared" si="93"/>
        <v>Nam dưới 35</v>
      </c>
      <c r="DJ109" s="48"/>
      <c r="DK109" s="48"/>
      <c r="DL109" s="53" t="str">
        <f t="shared" si="94"/>
        <v>Đến 30</v>
      </c>
      <c r="DM109" s="111" t="str">
        <f t="shared" si="104"/>
        <v>--</v>
      </c>
      <c r="DN109" s="112"/>
      <c r="DO109" s="110"/>
      <c r="DP109" s="116"/>
      <c r="DQ109" s="113"/>
      <c r="DR109" s="113"/>
      <c r="DS109" s="114"/>
      <c r="DT109" s="115"/>
      <c r="DU109" s="71"/>
      <c r="DV109" s="84"/>
      <c r="DW109" s="33" t="s">
        <v>368</v>
      </c>
      <c r="DX109" s="315" t="s">
        <v>138</v>
      </c>
      <c r="DY109" s="33" t="s">
        <v>4</v>
      </c>
      <c r="DZ109" s="148" t="s">
        <v>341</v>
      </c>
      <c r="EA109" s="45" t="s">
        <v>359</v>
      </c>
      <c r="EB109" s="566" t="s">
        <v>341</v>
      </c>
      <c r="EC109" s="45" t="s">
        <v>359</v>
      </c>
      <c r="ED109" s="72">
        <v>2012</v>
      </c>
      <c r="EE109" s="45">
        <f t="shared" si="96"/>
        <v>0</v>
      </c>
      <c r="EF109" s="73" t="str">
        <f t="shared" si="97"/>
        <v>- - -</v>
      </c>
      <c r="EG109" s="148" t="s">
        <v>341</v>
      </c>
      <c r="EH109" s="45" t="s">
        <v>359</v>
      </c>
      <c r="EI109" s="566" t="s">
        <v>341</v>
      </c>
      <c r="EJ109" s="45" t="s">
        <v>359</v>
      </c>
      <c r="EK109" s="72">
        <v>2012</v>
      </c>
      <c r="EL109" s="81"/>
      <c r="EM109" s="51" t="str">
        <f t="shared" si="110"/>
        <v>- - -</v>
      </c>
      <c r="EN109" s="74" t="str">
        <f t="shared" si="99"/>
        <v>---</v>
      </c>
      <c r="EO109" s="84"/>
      <c r="EP109" s="75"/>
      <c r="EQ109" s="75"/>
      <c r="ER109" s="75"/>
      <c r="ES109" s="75"/>
      <c r="ET109" s="75"/>
      <c r="EU109" s="75"/>
      <c r="EV109" s="75"/>
      <c r="EW109" s="75"/>
      <c r="EX109" s="75"/>
      <c r="EY109" s="75"/>
      <c r="EZ109" s="75"/>
      <c r="FA109" s="75"/>
      <c r="FB109" s="75"/>
      <c r="FC109" s="75"/>
      <c r="FD109" s="75"/>
      <c r="FE109" s="75"/>
      <c r="FF109" s="75"/>
      <c r="FG109" s="75"/>
      <c r="FH109" s="75"/>
      <c r="FI109" s="75"/>
      <c r="FJ109" s="75"/>
      <c r="FK109" s="75"/>
      <c r="FL109" s="75"/>
      <c r="FM109" s="94"/>
    </row>
    <row r="110" spans="1:174" s="171" customFormat="1" ht="16.5" customHeight="1" x14ac:dyDescent="0.2">
      <c r="A110" s="100">
        <v>670</v>
      </c>
      <c r="B110" s="296">
        <v>9</v>
      </c>
      <c r="C110" s="31"/>
      <c r="D110" s="31" t="str">
        <f t="shared" si="56"/>
        <v>Bà</v>
      </c>
      <c r="E110" s="37" t="s">
        <v>304</v>
      </c>
      <c r="F110" s="31" t="s">
        <v>380</v>
      </c>
      <c r="G110" s="60" t="s">
        <v>271</v>
      </c>
      <c r="H110" s="508" t="s">
        <v>359</v>
      </c>
      <c r="I110" s="60" t="s">
        <v>347</v>
      </c>
      <c r="J110" s="508" t="s">
        <v>359</v>
      </c>
      <c r="K110" s="37">
        <v>1977</v>
      </c>
      <c r="L110" s="157" t="s">
        <v>451</v>
      </c>
      <c r="M110" s="526" t="str">
        <f t="shared" si="57"/>
        <v>VC</v>
      </c>
      <c r="N110" s="163"/>
      <c r="O110" s="509" t="e">
        <f t="shared" si="58"/>
        <v>#N/A</v>
      </c>
      <c r="P110" s="37"/>
      <c r="Q110" s="296" t="e">
        <f>VLOOKUP(P110,'[1]- DLiêu Gốc (Không sửa)'!$C$2:$H$116,2,0)</f>
        <v>#N/A</v>
      </c>
      <c r="R110" s="37" t="s">
        <v>6</v>
      </c>
      <c r="S110" s="521" t="s">
        <v>566</v>
      </c>
      <c r="T110" s="35" t="str">
        <f>VLOOKUP(Y110,'- DLiêu Gốc -'!$C$2:$H$60,5,0)</f>
        <v>A1</v>
      </c>
      <c r="U110" s="36" t="str">
        <f>VLOOKUP(Y110,'- DLiêu Gốc -'!$C$2:$H$60,6,0)</f>
        <v>- - -</v>
      </c>
      <c r="V110" s="537" t="s">
        <v>424</v>
      </c>
      <c r="W110" s="295" t="str">
        <f t="shared" si="59"/>
        <v>Giảng viên (hạng III)</v>
      </c>
      <c r="X110" s="298" t="str">
        <f t="shared" si="60"/>
        <v>V.07.01.03</v>
      </c>
      <c r="Y110" s="317" t="s">
        <v>430</v>
      </c>
      <c r="Z110" s="317" t="str">
        <f>VLOOKUP(Y110,'- DLiêu Gốc -'!$C$1:$H$133,2,0)</f>
        <v>V.07.01.03</v>
      </c>
      <c r="AA110" s="48" t="str">
        <f t="shared" si="61"/>
        <v>Lương</v>
      </c>
      <c r="AB110" s="139">
        <v>6</v>
      </c>
      <c r="AC110" s="407" t="s">
        <v>359</v>
      </c>
      <c r="AD110" s="39">
        <v>9</v>
      </c>
      <c r="AE110" s="40">
        <f t="shared" si="62"/>
        <v>3.99</v>
      </c>
      <c r="AF110" s="329"/>
      <c r="AG110" s="329"/>
      <c r="AH110" s="396"/>
      <c r="AI110" s="445" t="s">
        <v>359</v>
      </c>
      <c r="AJ110" s="102"/>
      <c r="AK110" s="405" t="s">
        <v>359</v>
      </c>
      <c r="AL110" s="397"/>
      <c r="AM110" s="126"/>
      <c r="AN110" s="49"/>
      <c r="AO110" s="41">
        <f t="shared" si="105"/>
        <v>7</v>
      </c>
      <c r="AP110" s="401" t="str">
        <f t="shared" si="106"/>
        <v>/</v>
      </c>
      <c r="AQ110" s="80">
        <f t="shared" si="107"/>
        <v>9</v>
      </c>
      <c r="AR110" s="43">
        <f t="shared" si="108"/>
        <v>4.32</v>
      </c>
      <c r="AS110" s="333"/>
      <c r="AT110" s="44" t="s">
        <v>341</v>
      </c>
      <c r="AU110" s="404" t="s">
        <v>359</v>
      </c>
      <c r="AV110" s="45" t="s">
        <v>341</v>
      </c>
      <c r="AW110" s="395" t="s">
        <v>359</v>
      </c>
      <c r="AX110" s="46">
        <v>2021</v>
      </c>
      <c r="AY110" s="123"/>
      <c r="AZ110" s="388"/>
      <c r="BA110" s="392">
        <v>1.18</v>
      </c>
      <c r="BB110" s="47">
        <f t="shared" si="67"/>
        <v>3</v>
      </c>
      <c r="BC110" s="253">
        <f t="shared" si="68"/>
        <v>-24253</v>
      </c>
      <c r="BD110" s="205">
        <f>VLOOKUP(Y110,'- DLiêu Gốc -'!$C$1:$F$60,3,0)</f>
        <v>2.34</v>
      </c>
      <c r="BE110" s="205">
        <f>VLOOKUP(Y110,'- DLiêu Gốc -'!$C$1:$F$60,4,0)</f>
        <v>0.33</v>
      </c>
      <c r="BF110" s="53" t="str">
        <f t="shared" si="69"/>
        <v>PCTN</v>
      </c>
      <c r="BG110" s="54">
        <v>16</v>
      </c>
      <c r="BH110" s="343" t="s">
        <v>332</v>
      </c>
      <c r="BI110" s="56" t="s">
        <v>341</v>
      </c>
      <c r="BJ110" s="400" t="s">
        <v>359</v>
      </c>
      <c r="BK110" s="341">
        <v>5</v>
      </c>
      <c r="BL110" s="400" t="s">
        <v>359</v>
      </c>
      <c r="BM110" s="178">
        <v>2019</v>
      </c>
      <c r="BN110" s="126"/>
      <c r="BO110" s="58"/>
      <c r="BP110" s="55">
        <f>IF(BG110&gt;3,BG110+1,0)</f>
        <v>17</v>
      </c>
      <c r="BQ110" s="346" t="s">
        <v>332</v>
      </c>
      <c r="BR110" s="56" t="s">
        <v>341</v>
      </c>
      <c r="BS110" s="395" t="s">
        <v>359</v>
      </c>
      <c r="BT110" s="339">
        <v>5</v>
      </c>
      <c r="BU110" s="395" t="s">
        <v>359</v>
      </c>
      <c r="BV110" s="46">
        <v>2020</v>
      </c>
      <c r="BW110" s="57"/>
      <c r="BX110" s="125">
        <v>5</v>
      </c>
      <c r="BY110" s="254">
        <f t="shared" si="70"/>
        <v>-24245</v>
      </c>
      <c r="BZ110" s="53" t="str">
        <f>IF(AND(CV110="Hưu",BG110&gt;3),12-(12*(DB110-BV110)+(DA110-BT110))-BN110,"- - -")</f>
        <v>- - -</v>
      </c>
      <c r="CA110" s="316" t="str">
        <f t="shared" si="72"/>
        <v>Chánh Văn phòng Học viện, Trưởng Ban Tổ chức - Cán bộ, Trưởng Phân viện Học viện Hành chính Quốc gia tại Thành phố Hồ Chí Minh</v>
      </c>
      <c r="CB110" s="59" t="str">
        <f t="shared" si="73"/>
        <v>A</v>
      </c>
      <c r="CC110" s="38" t="str">
        <f t="shared" si="109"/>
        <v>=&gt; s</v>
      </c>
      <c r="CD110" s="48">
        <f t="shared" si="75"/>
        <v>24277</v>
      </c>
      <c r="CE110" s="31" t="str">
        <f t="shared" si="76"/>
        <v>---</v>
      </c>
      <c r="CF110" s="31"/>
      <c r="CG110" s="303"/>
      <c r="CH110" s="31"/>
      <c r="CI110" s="105"/>
      <c r="CJ110" s="31" t="str">
        <f t="shared" si="77"/>
        <v>- - -</v>
      </c>
      <c r="CK110" s="51" t="str">
        <f t="shared" si="78"/>
        <v>- - -</v>
      </c>
      <c r="CL110" s="61"/>
      <c r="CM110" s="62"/>
      <c r="CN110" s="61"/>
      <c r="CO110" s="76"/>
      <c r="CP110" s="51" t="str">
        <f t="shared" si="79"/>
        <v>- - -</v>
      </c>
      <c r="CQ110" s="61"/>
      <c r="CR110" s="62"/>
      <c r="CS110" s="61"/>
      <c r="CT110" s="76"/>
      <c r="CU110" s="65" t="str">
        <f t="shared" si="111"/>
        <v>---</v>
      </c>
      <c r="CV110" s="66" t="str">
        <f t="shared" si="81"/>
        <v>/-/ /-/</v>
      </c>
      <c r="CW110" s="63">
        <f t="shared" si="82"/>
        <v>8</v>
      </c>
      <c r="CX110" s="64">
        <f t="shared" si="83"/>
        <v>2032</v>
      </c>
      <c r="CY110" s="63">
        <f t="shared" si="84"/>
        <v>5</v>
      </c>
      <c r="CZ110" s="64">
        <f t="shared" si="85"/>
        <v>2032</v>
      </c>
      <c r="DA110" s="63">
        <f t="shared" si="86"/>
        <v>2</v>
      </c>
      <c r="DB110" s="64">
        <f t="shared" si="87"/>
        <v>2032</v>
      </c>
      <c r="DC110" s="67" t="str">
        <f t="shared" si="88"/>
        <v>- - -</v>
      </c>
      <c r="DD110" s="68" t="str">
        <f t="shared" si="89"/>
        <v>. .</v>
      </c>
      <c r="DE110" s="68"/>
      <c r="DF110" s="48">
        <f t="shared" si="90"/>
        <v>660</v>
      </c>
      <c r="DG110" s="48">
        <f t="shared" si="91"/>
        <v>-23719</v>
      </c>
      <c r="DH110" s="48">
        <f t="shared" si="92"/>
        <v>-1977</v>
      </c>
      <c r="DI110" s="48" t="str">
        <f t="shared" si="93"/>
        <v>Nữ dưới 30</v>
      </c>
      <c r="DJ110" s="48"/>
      <c r="DK110" s="48"/>
      <c r="DL110" s="53" t="str">
        <f t="shared" si="94"/>
        <v>Đến 30</v>
      </c>
      <c r="DM110" s="61" t="str">
        <f t="shared" si="104"/>
        <v>TD</v>
      </c>
      <c r="DN110" s="32">
        <v>2012</v>
      </c>
      <c r="DO110" s="31"/>
      <c r="DP110" s="69"/>
      <c r="DQ110" s="32"/>
      <c r="DR110" s="76"/>
      <c r="DS110" s="77"/>
      <c r="DT110" s="78"/>
      <c r="DU110" s="71"/>
      <c r="DV110" s="84"/>
      <c r="DW110" s="33" t="s">
        <v>6</v>
      </c>
      <c r="DX110" s="315" t="s">
        <v>416</v>
      </c>
      <c r="DY110" s="33" t="s">
        <v>6</v>
      </c>
      <c r="DZ110" s="148" t="s">
        <v>341</v>
      </c>
      <c r="EA110" s="45" t="s">
        <v>359</v>
      </c>
      <c r="EB110" s="143" t="s">
        <v>341</v>
      </c>
      <c r="EC110" s="45" t="s">
        <v>359</v>
      </c>
      <c r="ED110" s="72" t="s">
        <v>377</v>
      </c>
      <c r="EE110" s="45">
        <f t="shared" si="96"/>
        <v>0</v>
      </c>
      <c r="EF110" s="73" t="str">
        <f t="shared" si="97"/>
        <v>- - -</v>
      </c>
      <c r="EG110" s="148" t="s">
        <v>341</v>
      </c>
      <c r="EH110" s="45" t="s">
        <v>359</v>
      </c>
      <c r="EI110" s="143" t="s">
        <v>341</v>
      </c>
      <c r="EJ110" s="45" t="s">
        <v>359</v>
      </c>
      <c r="EK110" s="72" t="s">
        <v>377</v>
      </c>
      <c r="EL110" s="31"/>
      <c r="EM110" s="51" t="str">
        <f t="shared" si="110"/>
        <v>- - -</v>
      </c>
      <c r="EN110" s="74" t="str">
        <f t="shared" si="99"/>
        <v>---</v>
      </c>
      <c r="EO110" s="84"/>
      <c r="EP110" s="75"/>
      <c r="EQ110" s="75"/>
      <c r="ER110" s="75"/>
      <c r="ES110" s="75"/>
      <c r="ET110" s="75"/>
      <c r="EU110" s="75"/>
      <c r="EV110" s="75"/>
      <c r="EW110" s="75"/>
      <c r="EX110" s="75"/>
      <c r="EY110" s="75"/>
      <c r="EZ110" s="75"/>
      <c r="FA110" s="75"/>
      <c r="FB110" s="75"/>
      <c r="FC110" s="75"/>
      <c r="FD110" s="75"/>
      <c r="FE110" s="75"/>
      <c r="FF110" s="75"/>
      <c r="FG110" s="75"/>
      <c r="FH110" s="75"/>
      <c r="FI110" s="75"/>
      <c r="FJ110" s="75"/>
      <c r="FK110" s="75"/>
      <c r="FL110" s="75"/>
      <c r="FM110" s="75"/>
      <c r="FN110" s="554"/>
      <c r="FO110" s="554"/>
      <c r="FP110" s="554"/>
      <c r="FQ110" s="554"/>
      <c r="FR110" s="554"/>
    </row>
    <row r="111" spans="1:174" s="244" customFormat="1" ht="11.25" customHeight="1" x14ac:dyDescent="0.2">
      <c r="A111" s="100">
        <v>672</v>
      </c>
      <c r="B111" s="296">
        <v>11</v>
      </c>
      <c r="C111" s="31"/>
      <c r="D111" s="31" t="str">
        <f t="shared" si="56"/>
        <v>Ông</v>
      </c>
      <c r="E111" s="37" t="s">
        <v>77</v>
      </c>
      <c r="F111" s="31" t="s">
        <v>378</v>
      </c>
      <c r="G111" s="60" t="s">
        <v>272</v>
      </c>
      <c r="H111" s="508" t="s">
        <v>359</v>
      </c>
      <c r="I111" s="60" t="s">
        <v>376</v>
      </c>
      <c r="J111" s="508" t="s">
        <v>359</v>
      </c>
      <c r="K111" s="37" t="s">
        <v>78</v>
      </c>
      <c r="L111" s="157" t="s">
        <v>434</v>
      </c>
      <c r="M111" s="526" t="str">
        <f t="shared" si="57"/>
        <v>NLĐ</v>
      </c>
      <c r="N111" s="163"/>
      <c r="O111" s="509" t="e">
        <f t="shared" si="58"/>
        <v>#N/A</v>
      </c>
      <c r="P111" s="37"/>
      <c r="Q111" s="296" t="e">
        <f>VLOOKUP(P111,'[1]- DLiêu Gốc (Không sửa)'!$C$2:$H$116,2,0)</f>
        <v>#N/A</v>
      </c>
      <c r="R111" s="37" t="s">
        <v>6</v>
      </c>
      <c r="S111" s="521" t="s">
        <v>566</v>
      </c>
      <c r="T111" s="35" t="str">
        <f>VLOOKUP(Y111,'- DLiêu Gốc -'!$C$2:$H$60,5,0)</f>
        <v>A1</v>
      </c>
      <c r="U111" s="36" t="str">
        <f>VLOOKUP(Y111,'- DLiêu Gốc -'!$C$2:$H$60,6,0)</f>
        <v>- - -</v>
      </c>
      <c r="V111" s="537" t="s">
        <v>424</v>
      </c>
      <c r="W111" s="295" t="str">
        <f t="shared" si="59"/>
        <v>Giảng viên (hạng III)</v>
      </c>
      <c r="X111" s="298" t="str">
        <f t="shared" si="60"/>
        <v>V.07.01.03</v>
      </c>
      <c r="Y111" s="317" t="s">
        <v>430</v>
      </c>
      <c r="Z111" s="317" t="str">
        <f>VLOOKUP(Y111,'- DLiêu Gốc -'!$C$1:$H$133,2,0)</f>
        <v>V.07.01.03</v>
      </c>
      <c r="AA111" s="48" t="str">
        <f t="shared" si="61"/>
        <v>Lương</v>
      </c>
      <c r="AB111" s="139">
        <v>3</v>
      </c>
      <c r="AC111" s="407" t="s">
        <v>359</v>
      </c>
      <c r="AD111" s="39">
        <v>9</v>
      </c>
      <c r="AE111" s="40">
        <f t="shared" si="62"/>
        <v>3</v>
      </c>
      <c r="AF111" s="329"/>
      <c r="AG111" s="329"/>
      <c r="AH111" s="396"/>
      <c r="AI111" s="405" t="s">
        <v>359</v>
      </c>
      <c r="AJ111" s="102"/>
      <c r="AK111" s="405" t="s">
        <v>359</v>
      </c>
      <c r="AL111" s="397"/>
      <c r="AM111" s="126"/>
      <c r="AN111" s="49"/>
      <c r="AO111" s="41">
        <f t="shared" si="105"/>
        <v>4</v>
      </c>
      <c r="AP111" s="401" t="str">
        <f t="shared" si="106"/>
        <v>/</v>
      </c>
      <c r="AQ111" s="80">
        <f t="shared" si="107"/>
        <v>9</v>
      </c>
      <c r="AR111" s="43">
        <f t="shared" si="108"/>
        <v>3.33</v>
      </c>
      <c r="AS111" s="333"/>
      <c r="AT111" s="44" t="s">
        <v>341</v>
      </c>
      <c r="AU111" s="395" t="s">
        <v>359</v>
      </c>
      <c r="AV111" s="45" t="s">
        <v>341</v>
      </c>
      <c r="AW111" s="395" t="s">
        <v>359</v>
      </c>
      <c r="AX111" s="46">
        <v>2021</v>
      </c>
      <c r="AY111" s="84"/>
      <c r="AZ111" s="383"/>
      <c r="BA111" s="392">
        <v>1.18</v>
      </c>
      <c r="BB111" s="47">
        <f t="shared" si="67"/>
        <v>3</v>
      </c>
      <c r="BC111" s="253">
        <f t="shared" si="68"/>
        <v>-24253</v>
      </c>
      <c r="BD111" s="205">
        <f>VLOOKUP(Y111,'- DLiêu Gốc -'!$C$1:$F$60,3,0)</f>
        <v>2.34</v>
      </c>
      <c r="BE111" s="205">
        <f>VLOOKUP(Y111,'- DLiêu Gốc -'!$C$1:$F$60,4,0)</f>
        <v>0.33</v>
      </c>
      <c r="BF111" s="53" t="str">
        <f t="shared" si="69"/>
        <v>o-o-o</v>
      </c>
      <c r="BG111" s="54"/>
      <c r="BH111" s="343"/>
      <c r="BI111" s="342"/>
      <c r="BJ111" s="400"/>
      <c r="BK111" s="336"/>
      <c r="BL111" s="400"/>
      <c r="BM111" s="101"/>
      <c r="BN111" s="126"/>
      <c r="BO111" s="58"/>
      <c r="BP111" s="55"/>
      <c r="BQ111" s="346"/>
      <c r="BR111" s="56"/>
      <c r="BS111" s="395"/>
      <c r="BT111" s="337"/>
      <c r="BU111" s="395"/>
      <c r="BV111" s="46"/>
      <c r="BW111" s="57"/>
      <c r="BX111" s="125"/>
      <c r="BY111" s="254" t="str">
        <f t="shared" si="70"/>
        <v>- - -</v>
      </c>
      <c r="BZ111" s="103" t="str">
        <f>IF(BH111&gt;3,(($BG$2-BW111)*12+($BG$4-BU111)-BO111),"- - -")</f>
        <v>- - -</v>
      </c>
      <c r="CA111" s="316" t="str">
        <f t="shared" si="72"/>
        <v>Chánh Văn phòng Học viện, Trưởng Ban Tổ chức - Cán bộ, Trưởng Phân viện Học viện Hành chính Quốc gia tại Thành phố Hồ Chí Minh</v>
      </c>
      <c r="CB111" s="59" t="str">
        <f t="shared" si="73"/>
        <v>A</v>
      </c>
      <c r="CC111" s="38" t="str">
        <f t="shared" si="109"/>
        <v>=&gt; s</v>
      </c>
      <c r="CD111" s="48">
        <f t="shared" si="75"/>
        <v>24277</v>
      </c>
      <c r="CE111" s="31" t="str">
        <f t="shared" si="76"/>
        <v>---</v>
      </c>
      <c r="CF111" s="31"/>
      <c r="CG111" s="303"/>
      <c r="CH111" s="31"/>
      <c r="CI111" s="31"/>
      <c r="CJ111" s="31" t="str">
        <f t="shared" si="77"/>
        <v>- - -</v>
      </c>
      <c r="CK111" s="51" t="str">
        <f t="shared" si="78"/>
        <v>- - -</v>
      </c>
      <c r="CL111" s="61"/>
      <c r="CM111" s="62"/>
      <c r="CN111" s="61"/>
      <c r="CO111" s="76"/>
      <c r="CP111" s="51" t="str">
        <f t="shared" si="79"/>
        <v>- - -</v>
      </c>
      <c r="CQ111" s="61"/>
      <c r="CR111" s="32"/>
      <c r="CS111" s="61"/>
      <c r="CT111" s="76"/>
      <c r="CU111" s="65" t="str">
        <f t="shared" si="111"/>
        <v>---</v>
      </c>
      <c r="CV111" s="66" t="str">
        <f t="shared" si="81"/>
        <v>/-/ /-/</v>
      </c>
      <c r="CW111" s="63">
        <f t="shared" si="82"/>
        <v>5</v>
      </c>
      <c r="CX111" s="64">
        <f t="shared" si="83"/>
        <v>2045</v>
      </c>
      <c r="CY111" s="63">
        <f t="shared" si="84"/>
        <v>2</v>
      </c>
      <c r="CZ111" s="64">
        <f t="shared" si="85"/>
        <v>2045</v>
      </c>
      <c r="DA111" s="63">
        <f t="shared" si="86"/>
        <v>11</v>
      </c>
      <c r="DB111" s="64">
        <f t="shared" si="87"/>
        <v>2044</v>
      </c>
      <c r="DC111" s="67" t="str">
        <f t="shared" si="88"/>
        <v>- - -</v>
      </c>
      <c r="DD111" s="68" t="str">
        <f t="shared" si="89"/>
        <v>. .</v>
      </c>
      <c r="DE111" s="68"/>
      <c r="DF111" s="48">
        <f t="shared" si="90"/>
        <v>720</v>
      </c>
      <c r="DG111" s="48">
        <f t="shared" si="91"/>
        <v>-23812</v>
      </c>
      <c r="DH111" s="48">
        <f t="shared" si="92"/>
        <v>-1985</v>
      </c>
      <c r="DI111" s="48" t="str">
        <f t="shared" si="93"/>
        <v>Nam dưới 35</v>
      </c>
      <c r="DJ111" s="48"/>
      <c r="DK111" s="48"/>
      <c r="DL111" s="53" t="str">
        <f t="shared" si="94"/>
        <v>Đến 30</v>
      </c>
      <c r="DM111" s="61" t="str">
        <f t="shared" si="104"/>
        <v>--</v>
      </c>
      <c r="DN111" s="32"/>
      <c r="DO111" s="31"/>
      <c r="DP111" s="69"/>
      <c r="DQ111" s="32"/>
      <c r="DR111" s="32"/>
      <c r="DS111" s="70"/>
      <c r="DT111" s="37"/>
      <c r="DU111" s="71"/>
      <c r="DV111" s="84"/>
      <c r="DW111" s="33" t="s">
        <v>6</v>
      </c>
      <c r="DX111" s="315" t="s">
        <v>416</v>
      </c>
      <c r="DY111" s="33" t="s">
        <v>6</v>
      </c>
      <c r="DZ111" s="44" t="s">
        <v>341</v>
      </c>
      <c r="EA111" s="45" t="s">
        <v>359</v>
      </c>
      <c r="EB111" s="45" t="s">
        <v>341</v>
      </c>
      <c r="EC111" s="45" t="s">
        <v>359</v>
      </c>
      <c r="ED111" s="72" t="s">
        <v>377</v>
      </c>
      <c r="EE111" s="45">
        <f t="shared" si="96"/>
        <v>0</v>
      </c>
      <c r="EF111" s="73" t="str">
        <f t="shared" si="97"/>
        <v>- - -</v>
      </c>
      <c r="EG111" s="44" t="s">
        <v>341</v>
      </c>
      <c r="EH111" s="45" t="s">
        <v>359</v>
      </c>
      <c r="EI111" s="45" t="s">
        <v>341</v>
      </c>
      <c r="EJ111" s="45" t="s">
        <v>359</v>
      </c>
      <c r="EK111" s="72" t="s">
        <v>377</v>
      </c>
      <c r="EL111" s="31"/>
      <c r="EM111" s="51" t="str">
        <f t="shared" si="110"/>
        <v>- - -</v>
      </c>
      <c r="EN111" s="74" t="str">
        <f t="shared" si="99"/>
        <v>---</v>
      </c>
      <c r="EO111" s="84"/>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9"/>
      <c r="FN111" s="75"/>
      <c r="FO111" s="75"/>
      <c r="FP111" s="75"/>
      <c r="FQ111" s="75"/>
      <c r="FR111" s="75"/>
    </row>
    <row r="112" spans="1:174" s="75" customFormat="1" ht="11.25" customHeight="1" x14ac:dyDescent="0.25">
      <c r="A112" s="100">
        <v>721</v>
      </c>
      <c r="B112" s="296">
        <v>77</v>
      </c>
      <c r="C112" s="31"/>
      <c r="D112" s="31" t="str">
        <f t="shared" si="56"/>
        <v>Ông</v>
      </c>
      <c r="E112" s="37" t="s">
        <v>279</v>
      </c>
      <c r="F112" s="31" t="s">
        <v>378</v>
      </c>
      <c r="G112" s="60" t="s">
        <v>373</v>
      </c>
      <c r="H112" s="508" t="s">
        <v>359</v>
      </c>
      <c r="I112" s="60" t="s">
        <v>347</v>
      </c>
      <c r="J112" s="508" t="s">
        <v>359</v>
      </c>
      <c r="K112" s="37" t="s">
        <v>319</v>
      </c>
      <c r="L112" s="157" t="s">
        <v>451</v>
      </c>
      <c r="M112" s="526" t="str">
        <f t="shared" si="57"/>
        <v>VC</v>
      </c>
      <c r="N112" s="163"/>
      <c r="O112" s="509" t="str">
        <f t="shared" si="58"/>
        <v>CVụ</v>
      </c>
      <c r="P112" s="37" t="s">
        <v>243</v>
      </c>
      <c r="Q112" s="296" t="str">
        <f>VLOOKUP(P112,'[1]- DLiêu Gốc (Không sửa)'!$C$2:$H$116,2,0)</f>
        <v>0,6</v>
      </c>
      <c r="R112" s="78" t="s">
        <v>577</v>
      </c>
      <c r="S112" s="521" t="s">
        <v>566</v>
      </c>
      <c r="T112" s="35" t="str">
        <f>VLOOKUP(Y112,'- DLiêu Gốc -'!$C$2:$H$60,5,0)</f>
        <v>A2</v>
      </c>
      <c r="U112" s="36" t="str">
        <f>VLOOKUP(Y112,'- DLiêu Gốc -'!$C$2:$H$60,6,0)</f>
        <v>A2.1</v>
      </c>
      <c r="V112" s="537" t="s">
        <v>424</v>
      </c>
      <c r="W112" s="295" t="str">
        <f t="shared" si="59"/>
        <v>Giảng viên chính (hạng II)</v>
      </c>
      <c r="X112" s="298" t="str">
        <f t="shared" si="60"/>
        <v>V.07.01.02</v>
      </c>
      <c r="Y112" s="317" t="s">
        <v>431</v>
      </c>
      <c r="Z112" s="317" t="str">
        <f>VLOOKUP(Y112,'- DLiêu Gốc -'!$C$1:$H$133,2,0)</f>
        <v>V.07.01.02</v>
      </c>
      <c r="AA112" s="48" t="str">
        <f t="shared" si="61"/>
        <v>Lương</v>
      </c>
      <c r="AB112" s="139">
        <v>4</v>
      </c>
      <c r="AC112" s="407" t="s">
        <v>359</v>
      </c>
      <c r="AD112" s="39">
        <v>8</v>
      </c>
      <c r="AE112" s="40">
        <f t="shared" si="62"/>
        <v>5.42</v>
      </c>
      <c r="AF112" s="329"/>
      <c r="AG112" s="329"/>
      <c r="AH112" s="396"/>
      <c r="AI112" s="445" t="s">
        <v>359</v>
      </c>
      <c r="AJ112" s="102"/>
      <c r="AK112" s="405" t="s">
        <v>359</v>
      </c>
      <c r="AL112" s="465"/>
      <c r="AM112" s="126"/>
      <c r="AN112" s="49"/>
      <c r="AO112" s="41">
        <f t="shared" si="105"/>
        <v>5</v>
      </c>
      <c r="AP112" s="401" t="str">
        <f t="shared" si="106"/>
        <v>/</v>
      </c>
      <c r="AQ112" s="80">
        <f t="shared" si="107"/>
        <v>8</v>
      </c>
      <c r="AR112" s="43">
        <f t="shared" si="108"/>
        <v>5.76</v>
      </c>
      <c r="AS112" s="333"/>
      <c r="AT112" s="44" t="s">
        <v>341</v>
      </c>
      <c r="AU112" s="404" t="s">
        <v>359</v>
      </c>
      <c r="AV112" s="45" t="s">
        <v>341</v>
      </c>
      <c r="AW112" s="395" t="s">
        <v>359</v>
      </c>
      <c r="AX112" s="46">
        <v>2021</v>
      </c>
      <c r="AY112" s="84"/>
      <c r="AZ112" s="383"/>
      <c r="BA112" s="392">
        <v>1.18</v>
      </c>
      <c r="BB112" s="47">
        <f t="shared" si="67"/>
        <v>3</v>
      </c>
      <c r="BC112" s="253">
        <f t="shared" si="68"/>
        <v>-24253</v>
      </c>
      <c r="BD112" s="205">
        <f>VLOOKUP(Y112,'- DLiêu Gốc -'!$C$1:$F$60,3,0)</f>
        <v>4.4000000000000004</v>
      </c>
      <c r="BE112" s="205">
        <f>VLOOKUP(Y112,'- DLiêu Gốc -'!$C$1:$F$60,4,0)</f>
        <v>0.34</v>
      </c>
      <c r="BF112" s="53" t="str">
        <f t="shared" si="69"/>
        <v>PCTN</v>
      </c>
      <c r="BG112" s="54">
        <v>28</v>
      </c>
      <c r="BH112" s="343" t="s">
        <v>332</v>
      </c>
      <c r="BI112" s="56" t="s">
        <v>341</v>
      </c>
      <c r="BJ112" s="400" t="s">
        <v>359</v>
      </c>
      <c r="BK112" s="341">
        <v>3</v>
      </c>
      <c r="BL112" s="400" t="s">
        <v>359</v>
      </c>
      <c r="BM112" s="178">
        <v>2019</v>
      </c>
      <c r="BN112" s="126"/>
      <c r="BO112" s="58"/>
      <c r="BP112" s="55">
        <f>IF(BG112&gt;3,BG112+1,0)</f>
        <v>29</v>
      </c>
      <c r="BQ112" s="348" t="s">
        <v>332</v>
      </c>
      <c r="BR112" s="56" t="s">
        <v>341</v>
      </c>
      <c r="BS112" s="395" t="s">
        <v>359</v>
      </c>
      <c r="BT112" s="339">
        <v>3</v>
      </c>
      <c r="BU112" s="395" t="s">
        <v>359</v>
      </c>
      <c r="BV112" s="178">
        <v>2020</v>
      </c>
      <c r="BW112" s="57"/>
      <c r="BX112" s="125">
        <v>3</v>
      </c>
      <c r="BY112" s="254">
        <f t="shared" si="70"/>
        <v>-24243</v>
      </c>
      <c r="BZ112" s="53" t="str">
        <f>IF(AND(CV112="Hưu",BG112&gt;3),12-(12*(DB112-BV112)+(DA112-BT112))-BN112,"- - -")</f>
        <v>- - -</v>
      </c>
      <c r="CA112" s="316" t="str">
        <f t="shared" si="72"/>
        <v>Chánh Văn phòng Học viện, Trưởng Ban Tổ chức - Cán bộ, Trưởng Phân viện Học viện Hành chính Quốc gia tại Thành phố Hồ Chí Minh</v>
      </c>
      <c r="CB112" s="59" t="str">
        <f t="shared" si="73"/>
        <v>A</v>
      </c>
      <c r="CC112" s="38" t="str">
        <f t="shared" si="109"/>
        <v>=&gt; s</v>
      </c>
      <c r="CD112" s="48">
        <f t="shared" si="75"/>
        <v>24277</v>
      </c>
      <c r="CE112" s="31" t="str">
        <f t="shared" si="76"/>
        <v>---</v>
      </c>
      <c r="CF112" s="31"/>
      <c r="CG112" s="303"/>
      <c r="CH112" s="31"/>
      <c r="CI112" s="31"/>
      <c r="CJ112" s="31" t="str">
        <f t="shared" si="77"/>
        <v>- - -</v>
      </c>
      <c r="CK112" s="51" t="str">
        <f t="shared" si="78"/>
        <v>NN</v>
      </c>
      <c r="CL112" s="61">
        <v>1</v>
      </c>
      <c r="CM112" s="62">
        <v>2009</v>
      </c>
      <c r="CN112" s="61"/>
      <c r="CO112" s="76"/>
      <c r="CP112" s="51" t="str">
        <f t="shared" si="79"/>
        <v>- - -</v>
      </c>
      <c r="CQ112" s="61"/>
      <c r="CR112" s="62"/>
      <c r="CS112" s="61"/>
      <c r="CT112" s="76"/>
      <c r="CU112" s="65" t="str">
        <f t="shared" si="111"/>
        <v>---</v>
      </c>
      <c r="CV112" s="66" t="str">
        <f t="shared" si="81"/>
        <v>/-/ /-/</v>
      </c>
      <c r="CW112" s="63">
        <f t="shared" si="82"/>
        <v>8</v>
      </c>
      <c r="CX112" s="64">
        <f t="shared" si="83"/>
        <v>2030</v>
      </c>
      <c r="CY112" s="63">
        <f t="shared" si="84"/>
        <v>5</v>
      </c>
      <c r="CZ112" s="64">
        <f t="shared" si="85"/>
        <v>2030</v>
      </c>
      <c r="DA112" s="63">
        <f t="shared" si="86"/>
        <v>2</v>
      </c>
      <c r="DB112" s="64">
        <f t="shared" si="87"/>
        <v>2030</v>
      </c>
      <c r="DC112" s="67" t="str">
        <f t="shared" si="88"/>
        <v>- - -</v>
      </c>
      <c r="DD112" s="68" t="str">
        <f t="shared" si="89"/>
        <v>. .</v>
      </c>
      <c r="DE112" s="68"/>
      <c r="DF112" s="48">
        <f t="shared" si="90"/>
        <v>720</v>
      </c>
      <c r="DG112" s="48">
        <f t="shared" si="91"/>
        <v>-23635</v>
      </c>
      <c r="DH112" s="48">
        <f t="shared" si="92"/>
        <v>-1970</v>
      </c>
      <c r="DI112" s="48" t="str">
        <f t="shared" si="93"/>
        <v>Nam dưới 35</v>
      </c>
      <c r="DJ112" s="48"/>
      <c r="DK112" s="48"/>
      <c r="DL112" s="53" t="str">
        <f t="shared" si="94"/>
        <v>Đến 30</v>
      </c>
      <c r="DM112" s="61" t="str">
        <f t="shared" si="104"/>
        <v>--</v>
      </c>
      <c r="DN112" s="32"/>
      <c r="DO112" s="82"/>
      <c r="DP112" s="122"/>
      <c r="DQ112" s="32"/>
      <c r="DR112" s="32"/>
      <c r="DS112" s="70"/>
      <c r="DT112" s="37"/>
      <c r="DU112" s="71"/>
      <c r="DV112" s="84"/>
      <c r="DW112" s="85" t="s">
        <v>318</v>
      </c>
      <c r="DX112" s="315" t="s">
        <v>416</v>
      </c>
      <c r="DY112" s="85" t="s">
        <v>318</v>
      </c>
      <c r="DZ112" s="311" t="s">
        <v>341</v>
      </c>
      <c r="EA112" s="45" t="s">
        <v>359</v>
      </c>
      <c r="EB112" s="143" t="s">
        <v>341</v>
      </c>
      <c r="EC112" s="45" t="s">
        <v>359</v>
      </c>
      <c r="ED112" s="72" t="s">
        <v>377</v>
      </c>
      <c r="EE112" s="45">
        <f t="shared" si="96"/>
        <v>0</v>
      </c>
      <c r="EF112" s="73" t="str">
        <f t="shared" si="97"/>
        <v>- - -</v>
      </c>
      <c r="EG112" s="311" t="s">
        <v>341</v>
      </c>
      <c r="EH112" s="45" t="s">
        <v>359</v>
      </c>
      <c r="EI112" s="143" t="s">
        <v>341</v>
      </c>
      <c r="EJ112" s="45" t="s">
        <v>359</v>
      </c>
      <c r="EK112" s="72" t="s">
        <v>377</v>
      </c>
      <c r="EL112" s="81">
        <v>3.99</v>
      </c>
      <c r="EM112" s="51" t="str">
        <f t="shared" si="110"/>
        <v>- - -</v>
      </c>
      <c r="EN112" s="74" t="str">
        <f t="shared" si="99"/>
        <v>---</v>
      </c>
      <c r="EO112" s="84"/>
    </row>
    <row r="113" spans="1:174" s="171" customFormat="1" ht="11.25" customHeight="1" x14ac:dyDescent="0.25">
      <c r="A113" s="100">
        <v>757</v>
      </c>
      <c r="B113" s="296">
        <v>51</v>
      </c>
      <c r="C113" s="31"/>
      <c r="D113" s="31" t="str">
        <f t="shared" si="56"/>
        <v>Bà</v>
      </c>
      <c r="E113" s="37" t="s">
        <v>290</v>
      </c>
      <c r="F113" s="31" t="s">
        <v>380</v>
      </c>
      <c r="G113" s="60" t="s">
        <v>274</v>
      </c>
      <c r="H113" s="508" t="s">
        <v>359</v>
      </c>
      <c r="I113" s="60">
        <v>5</v>
      </c>
      <c r="J113" s="508" t="s">
        <v>359</v>
      </c>
      <c r="K113" s="37">
        <v>1979</v>
      </c>
      <c r="L113" s="157" t="s">
        <v>451</v>
      </c>
      <c r="M113" s="526" t="str">
        <f t="shared" si="57"/>
        <v>VC</v>
      </c>
      <c r="N113" s="163"/>
      <c r="O113" s="509" t="str">
        <f t="shared" si="58"/>
        <v>CVụ</v>
      </c>
      <c r="P113" s="37" t="s">
        <v>250</v>
      </c>
      <c r="Q113" s="296" t="str">
        <f>VLOOKUP(P113,'[1]- DLiêu Gốc (Không sửa)'!$C$2:$H$116,2,0)</f>
        <v>0,4</v>
      </c>
      <c r="R113" s="37" t="s">
        <v>572</v>
      </c>
      <c r="S113" s="521" t="s">
        <v>566</v>
      </c>
      <c r="T113" s="35" t="str">
        <f>VLOOKUP(Y113,'- DLiêu Gốc -'!$C$2:$H$60,5,0)</f>
        <v>A1</v>
      </c>
      <c r="U113" s="36" t="str">
        <f>VLOOKUP(Y113,'- DLiêu Gốc -'!$C$2:$H$60,6,0)</f>
        <v>- - -</v>
      </c>
      <c r="V113" s="537" t="s">
        <v>424</v>
      </c>
      <c r="W113" s="295" t="str">
        <f t="shared" si="59"/>
        <v>Giảng viên (hạng III)</v>
      </c>
      <c r="X113" s="93" t="str">
        <f t="shared" si="60"/>
        <v>V.07.01.03</v>
      </c>
      <c r="Y113" s="317" t="s">
        <v>430</v>
      </c>
      <c r="Z113" s="317" t="str">
        <f>VLOOKUP(Y113,'- DLiêu Gốc -'!$C$1:$H$133,2,0)</f>
        <v>V.07.01.03</v>
      </c>
      <c r="AA113" s="48" t="str">
        <f t="shared" si="61"/>
        <v>Lương</v>
      </c>
      <c r="AB113" s="139">
        <v>6</v>
      </c>
      <c r="AC113" s="407" t="s">
        <v>359</v>
      </c>
      <c r="AD113" s="39">
        <v>9</v>
      </c>
      <c r="AE113" s="50">
        <f t="shared" si="62"/>
        <v>3.99</v>
      </c>
      <c r="AF113" s="331"/>
      <c r="AG113" s="331"/>
      <c r="AH113" s="421"/>
      <c r="AI113" s="405" t="s">
        <v>359</v>
      </c>
      <c r="AJ113" s="42"/>
      <c r="AK113" s="405" t="s">
        <v>359</v>
      </c>
      <c r="AL113" s="422"/>
      <c r="AM113" s="118"/>
      <c r="AN113" s="49"/>
      <c r="AO113" s="41">
        <f t="shared" si="105"/>
        <v>7</v>
      </c>
      <c r="AP113" s="401" t="str">
        <f t="shared" si="106"/>
        <v>/</v>
      </c>
      <c r="AQ113" s="80">
        <f t="shared" si="107"/>
        <v>9</v>
      </c>
      <c r="AR113" s="43">
        <f t="shared" si="108"/>
        <v>4.32</v>
      </c>
      <c r="AS113" s="333"/>
      <c r="AT113" s="44" t="s">
        <v>341</v>
      </c>
      <c r="AU113" s="395" t="s">
        <v>359</v>
      </c>
      <c r="AV113" s="45" t="s">
        <v>341</v>
      </c>
      <c r="AW113" s="395" t="s">
        <v>359</v>
      </c>
      <c r="AX113" s="46">
        <v>2021</v>
      </c>
      <c r="AY113" s="84"/>
      <c r="AZ113" s="191" t="s">
        <v>629</v>
      </c>
      <c r="BA113" s="392">
        <v>1.18</v>
      </c>
      <c r="BB113" s="47">
        <f t="shared" si="67"/>
        <v>3</v>
      </c>
      <c r="BC113" s="253">
        <f t="shared" si="68"/>
        <v>-24253</v>
      </c>
      <c r="BD113" s="205">
        <f>VLOOKUP(Y113,'- DLiêu Gốc -'!$C$1:$F$60,3,0)</f>
        <v>2.34</v>
      </c>
      <c r="BE113" s="205">
        <f>VLOOKUP(Y113,'- DLiêu Gốc -'!$C$1:$F$60,4,0)</f>
        <v>0.33</v>
      </c>
      <c r="BF113" s="53" t="str">
        <f t="shared" si="69"/>
        <v>PCTN</v>
      </c>
      <c r="BG113" s="54">
        <v>13</v>
      </c>
      <c r="BH113" s="343" t="s">
        <v>332</v>
      </c>
      <c r="BI113" s="56" t="s">
        <v>341</v>
      </c>
      <c r="BJ113" s="400" t="s">
        <v>359</v>
      </c>
      <c r="BK113" s="341" t="s">
        <v>348</v>
      </c>
      <c r="BL113" s="400" t="s">
        <v>359</v>
      </c>
      <c r="BM113" s="46">
        <v>2019</v>
      </c>
      <c r="BN113" s="118"/>
      <c r="BO113" s="58"/>
      <c r="BP113" s="55">
        <f>IF(BG113&gt;3,BG113+1,0)</f>
        <v>14</v>
      </c>
      <c r="BQ113" s="348" t="s">
        <v>332</v>
      </c>
      <c r="BR113" s="56" t="s">
        <v>341</v>
      </c>
      <c r="BS113" s="395" t="s">
        <v>359</v>
      </c>
      <c r="BT113" s="339" t="s">
        <v>348</v>
      </c>
      <c r="BU113" s="395" t="s">
        <v>359</v>
      </c>
      <c r="BV113" s="46">
        <v>2020</v>
      </c>
      <c r="BW113" s="57"/>
      <c r="BX113" s="125"/>
      <c r="BY113" s="254">
        <f t="shared" si="70"/>
        <v>-24249</v>
      </c>
      <c r="BZ113" s="53" t="str">
        <f>IF(AND(CV113="Hưu",BG113&gt;3),12-(12*(DB113-BV113)+(DA113-BT113))-BN113,"- - -")</f>
        <v>- - -</v>
      </c>
      <c r="CA113" s="316" t="str">
        <f t="shared" si="72"/>
        <v>Chánh Văn phòng Học viện, Trưởng Ban Tổ chức - Cán bộ, Trưởng Phân viện Học viện Hành chính Quốc gia tại Thành phố Hồ Chí Minh</v>
      </c>
      <c r="CB113" s="59" t="str">
        <f t="shared" si="73"/>
        <v>A</v>
      </c>
      <c r="CC113" s="38" t="str">
        <f t="shared" si="109"/>
        <v>=&gt; s</v>
      </c>
      <c r="CD113" s="48">
        <f t="shared" si="75"/>
        <v>24277</v>
      </c>
      <c r="CE113" s="31" t="str">
        <f t="shared" si="76"/>
        <v>---</v>
      </c>
      <c r="CF113" s="31"/>
      <c r="CG113" s="175"/>
      <c r="CH113" s="31"/>
      <c r="CI113" s="31"/>
      <c r="CJ113" s="31" t="str">
        <f t="shared" si="77"/>
        <v>- - -</v>
      </c>
      <c r="CK113" s="51" t="str">
        <f t="shared" si="78"/>
        <v>- - -</v>
      </c>
      <c r="CL113" s="61"/>
      <c r="CM113" s="62"/>
      <c r="CN113" s="61"/>
      <c r="CO113" s="76"/>
      <c r="CP113" s="51" t="str">
        <f t="shared" si="79"/>
        <v>CN</v>
      </c>
      <c r="CQ113" s="61">
        <v>6</v>
      </c>
      <c r="CR113" s="62">
        <v>2013</v>
      </c>
      <c r="CS113" s="61"/>
      <c r="CT113" s="76"/>
      <c r="CU113" s="65" t="str">
        <f t="shared" si="111"/>
        <v>---</v>
      </c>
      <c r="CV113" s="66" t="str">
        <f t="shared" si="81"/>
        <v>/-/ /-/</v>
      </c>
      <c r="CW113" s="63">
        <f t="shared" si="82"/>
        <v>6</v>
      </c>
      <c r="CX113" s="64">
        <f t="shared" si="83"/>
        <v>2034</v>
      </c>
      <c r="CY113" s="63">
        <f t="shared" si="84"/>
        <v>3</v>
      </c>
      <c r="CZ113" s="64">
        <f t="shared" si="85"/>
        <v>2034</v>
      </c>
      <c r="DA113" s="63">
        <f t="shared" si="86"/>
        <v>12</v>
      </c>
      <c r="DB113" s="64">
        <f t="shared" si="87"/>
        <v>2033</v>
      </c>
      <c r="DC113" s="67" t="str">
        <f t="shared" si="88"/>
        <v>- - -</v>
      </c>
      <c r="DD113" s="68" t="str">
        <f t="shared" si="89"/>
        <v>. .</v>
      </c>
      <c r="DE113" s="68"/>
      <c r="DF113" s="48">
        <f t="shared" si="90"/>
        <v>660</v>
      </c>
      <c r="DG113" s="48">
        <f t="shared" si="91"/>
        <v>-23741</v>
      </c>
      <c r="DH113" s="48">
        <f t="shared" si="92"/>
        <v>-1979</v>
      </c>
      <c r="DI113" s="48" t="str">
        <f t="shared" si="93"/>
        <v>Nữ dưới 30</v>
      </c>
      <c r="DJ113" s="48"/>
      <c r="DK113" s="48"/>
      <c r="DL113" s="53" t="str">
        <f t="shared" si="94"/>
        <v>Đến 30</v>
      </c>
      <c r="DM113" s="61" t="str">
        <f t="shared" si="104"/>
        <v>--</v>
      </c>
      <c r="DN113" s="32"/>
      <c r="DO113" s="31" t="s">
        <v>261</v>
      </c>
      <c r="DP113" s="122">
        <v>6</v>
      </c>
      <c r="DQ113" s="32">
        <v>2013</v>
      </c>
      <c r="DR113" s="32"/>
      <c r="DS113" s="70"/>
      <c r="DT113" s="37"/>
      <c r="DU113" s="71"/>
      <c r="DV113" s="84"/>
      <c r="DW113" s="33" t="s">
        <v>63</v>
      </c>
      <c r="DX113" s="315" t="s">
        <v>416</v>
      </c>
      <c r="DY113" s="33" t="s">
        <v>63</v>
      </c>
      <c r="DZ113" s="44" t="s">
        <v>341</v>
      </c>
      <c r="EA113" s="45" t="s">
        <v>359</v>
      </c>
      <c r="EB113" s="45" t="s">
        <v>348</v>
      </c>
      <c r="EC113" s="45" t="s">
        <v>359</v>
      </c>
      <c r="ED113" s="72">
        <v>2012</v>
      </c>
      <c r="EE113" s="45">
        <f t="shared" si="96"/>
        <v>0</v>
      </c>
      <c r="EF113" s="73" t="str">
        <f t="shared" si="97"/>
        <v>- - -</v>
      </c>
      <c r="EG113" s="44" t="s">
        <v>341</v>
      </c>
      <c r="EH113" s="45" t="s">
        <v>359</v>
      </c>
      <c r="EI113" s="45" t="s">
        <v>348</v>
      </c>
      <c r="EJ113" s="45" t="s">
        <v>359</v>
      </c>
      <c r="EK113" s="72">
        <v>2012</v>
      </c>
      <c r="EL113" s="31"/>
      <c r="EM113" s="51" t="str">
        <f t="shared" si="110"/>
        <v>- - -</v>
      </c>
      <c r="EN113" s="74" t="str">
        <f t="shared" si="99"/>
        <v>---</v>
      </c>
      <c r="EO113" s="84"/>
      <c r="EP113" s="75"/>
      <c r="EQ113" s="75"/>
      <c r="ER113" s="75"/>
      <c r="ES113" s="75"/>
      <c r="ET113" s="75"/>
      <c r="EU113" s="75"/>
      <c r="EV113" s="75"/>
      <c r="EW113" s="75"/>
      <c r="EX113" s="75"/>
      <c r="EY113" s="75"/>
      <c r="EZ113" s="75"/>
      <c r="FA113" s="75"/>
      <c r="FB113" s="75"/>
      <c r="FC113" s="75"/>
      <c r="FD113" s="75"/>
      <c r="FE113" s="75"/>
      <c r="FF113" s="75"/>
      <c r="FG113" s="75"/>
      <c r="FH113" s="75"/>
      <c r="FI113" s="75"/>
      <c r="FJ113" s="75"/>
      <c r="FK113" s="75"/>
      <c r="FL113" s="75"/>
      <c r="FM113" s="75"/>
      <c r="FN113" s="75"/>
      <c r="FO113" s="75"/>
      <c r="FP113" s="75"/>
      <c r="FQ113" s="75"/>
      <c r="FR113" s="75"/>
    </row>
    <row r="114" spans="1:174" s="75" customFormat="1" ht="11.25" customHeight="1" x14ac:dyDescent="0.25">
      <c r="A114" s="100">
        <v>788</v>
      </c>
      <c r="B114" s="296">
        <v>142</v>
      </c>
      <c r="C114" s="31"/>
      <c r="D114" s="31" t="str">
        <f t="shared" si="56"/>
        <v>Ông</v>
      </c>
      <c r="E114" s="37" t="s">
        <v>86</v>
      </c>
      <c r="F114" s="31" t="s">
        <v>378</v>
      </c>
      <c r="G114" s="60" t="s">
        <v>277</v>
      </c>
      <c r="H114" s="508" t="s">
        <v>359</v>
      </c>
      <c r="I114" s="60" t="s">
        <v>370</v>
      </c>
      <c r="J114" s="508" t="s">
        <v>359</v>
      </c>
      <c r="K114" s="37">
        <v>1961</v>
      </c>
      <c r="L114" s="157" t="s">
        <v>451</v>
      </c>
      <c r="M114" s="526" t="str">
        <f t="shared" si="57"/>
        <v>VC</v>
      </c>
      <c r="N114" s="163"/>
      <c r="O114" s="509" t="e">
        <f t="shared" si="58"/>
        <v>#N/A</v>
      </c>
      <c r="P114" s="37"/>
      <c r="Q114" s="296" t="e">
        <f>VLOOKUP(P114,'[1]- DLiêu Gốc (Không sửa)'!$C$2:$H$116,2,0)</f>
        <v>#N/A</v>
      </c>
      <c r="R114" s="37" t="s">
        <v>368</v>
      </c>
      <c r="S114" s="521" t="s">
        <v>566</v>
      </c>
      <c r="T114" s="35" t="str">
        <f>VLOOKUP(Y114,'- DLiêu Gốc -'!$C$2:$H$60,5,0)</f>
        <v>C</v>
      </c>
      <c r="U114" s="36" t="str">
        <f>VLOOKUP(Y114,'- DLiêu Gốc -'!$C$2:$H$60,6,0)</f>
        <v>Nhân viên</v>
      </c>
      <c r="V114" s="537" t="s">
        <v>425</v>
      </c>
      <c r="W114" s="295" t="str">
        <f t="shared" si="59"/>
        <v>Nhân viên</v>
      </c>
      <c r="X114" s="298" t="str">
        <f t="shared" si="60"/>
        <v>01.005</v>
      </c>
      <c r="Y114" s="317" t="s">
        <v>357</v>
      </c>
      <c r="Z114" s="317" t="str">
        <f>VLOOKUP(Y114,'- DLiêu Gốc -'!$C$1:$H$133,2,0)</f>
        <v>01.007</v>
      </c>
      <c r="AA114" s="48" t="str">
        <f t="shared" si="61"/>
        <v>Lương</v>
      </c>
      <c r="AB114" s="139">
        <v>12</v>
      </c>
      <c r="AC114" s="407" t="str">
        <f>IF(AD114&gt;0,"/")</f>
        <v>/</v>
      </c>
      <c r="AD114" s="39">
        <f>IF(OR(BE114=0.18,BE114=0.2),12,IF(BE114=0.31,10,IF(BE114=0.33,9,IF(BE114=0.34,8,IF(BE114=0.36,6)))))</f>
        <v>12</v>
      </c>
      <c r="AE114" s="40">
        <f t="shared" si="62"/>
        <v>3.63</v>
      </c>
      <c r="AF114" s="41">
        <v>10</v>
      </c>
      <c r="AG114" s="333" t="str">
        <f>IF(AD114=AB114,"%",IF(AD114&gt;AB114,"/"))</f>
        <v>%</v>
      </c>
      <c r="AH114" s="396"/>
      <c r="AI114" s="405"/>
      <c r="AJ114" s="102"/>
      <c r="AK114" s="405"/>
      <c r="AL114" s="406"/>
      <c r="AM114" s="126"/>
      <c r="AN114" s="49"/>
      <c r="AO114" s="440"/>
      <c r="AP114" s="442"/>
      <c r="AQ114" s="438"/>
      <c r="AR114" s="423">
        <f>IF(AND(AD114=AB114,AF114=0),5,IF(AND(AD114=AB114,AF114&gt;4),AF114+1,IF(AD114&gt;AB114,AD114)))</f>
        <v>11</v>
      </c>
      <c r="AS114" s="333" t="str">
        <f>IF(AD114=AB114,"%",IF(AD114&gt;AB114,AE114+BE114))</f>
        <v>%</v>
      </c>
      <c r="AT114" s="44" t="s">
        <v>341</v>
      </c>
      <c r="AU114" s="395" t="s">
        <v>359</v>
      </c>
      <c r="AV114" s="45" t="s">
        <v>341</v>
      </c>
      <c r="AW114" s="395" t="s">
        <v>359</v>
      </c>
      <c r="AX114" s="46">
        <v>2021</v>
      </c>
      <c r="AY114" s="84"/>
      <c r="AZ114" s="383"/>
      <c r="BA114" s="392">
        <v>1.18</v>
      </c>
      <c r="BB114" s="47">
        <f t="shared" si="67"/>
        <v>1</v>
      </c>
      <c r="BC114" s="253">
        <f t="shared" si="68"/>
        <v>-24253</v>
      </c>
      <c r="BD114" s="205">
        <f>VLOOKUP(Y114,'- DLiêu Gốc -'!$C$1:$F$60,3,0)</f>
        <v>1.65</v>
      </c>
      <c r="BE114" s="205">
        <f>VLOOKUP(Y114,'- DLiêu Gốc -'!$C$1:$F$60,4,0)</f>
        <v>0.18</v>
      </c>
      <c r="BF114" s="53" t="str">
        <f t="shared" si="69"/>
        <v>o-o-o</v>
      </c>
      <c r="BG114" s="54"/>
      <c r="BH114" s="343"/>
      <c r="BI114" s="342"/>
      <c r="BJ114" s="400"/>
      <c r="BK114" s="336"/>
      <c r="BL114" s="400"/>
      <c r="BM114" s="101"/>
      <c r="BN114" s="126"/>
      <c r="BO114" s="58"/>
      <c r="BP114" s="55"/>
      <c r="BQ114" s="346"/>
      <c r="BR114" s="56"/>
      <c r="BS114" s="395"/>
      <c r="BT114" s="337"/>
      <c r="BU114" s="395"/>
      <c r="BV114" s="46"/>
      <c r="BW114" s="57"/>
      <c r="BX114" s="125"/>
      <c r="BY114" s="254" t="str">
        <f t="shared" si="70"/>
        <v>- - -</v>
      </c>
      <c r="BZ114" s="53" t="str">
        <f>IF(AND(CV114="Hưu",BG114&gt;3),12-(12*(DB114-BV114)+(DA114-BT114))-BN114,"- - -")</f>
        <v>- - -</v>
      </c>
      <c r="CA114" s="316" t="str">
        <f t="shared" si="72"/>
        <v>Chánh Văn phòng Học viện, Trưởng Ban Tổ chức - Cán bộ, Trưởng Phân viện Học viện Hành chính Quốc gia tại Thành phố Hồ Chí Minh</v>
      </c>
      <c r="CB114" s="59" t="str">
        <f t="shared" si="73"/>
        <v>A</v>
      </c>
      <c r="CC114" s="38" t="str">
        <f>IF(AND(AF114&gt;0,AB114&lt;(AD114-1),CD114&gt;0,CD114&lt;13,OR(AND(CJ114="Cùg Ng",($CC$2-CF114)&gt;BB114),CJ114="- - -")),"Sớm TT","=&gt; s")</f>
        <v>=&gt; s</v>
      </c>
      <c r="CD114" s="48" t="str">
        <f t="shared" si="75"/>
        <v>---</v>
      </c>
      <c r="CE114" s="31" t="str">
        <f t="shared" si="76"/>
        <v>---</v>
      </c>
      <c r="CF114" s="31"/>
      <c r="CG114" s="303"/>
      <c r="CH114" s="31"/>
      <c r="CI114" s="31"/>
      <c r="CJ114" s="31" t="str">
        <f t="shared" si="77"/>
        <v>- - -</v>
      </c>
      <c r="CK114" s="51" t="str">
        <f t="shared" si="78"/>
        <v>- - -</v>
      </c>
      <c r="CL114" s="61"/>
      <c r="CM114" s="62"/>
      <c r="CN114" s="61"/>
      <c r="CO114" s="76"/>
      <c r="CP114" s="51" t="str">
        <f t="shared" si="79"/>
        <v>- - -</v>
      </c>
      <c r="CQ114" s="61"/>
      <c r="CR114" s="62"/>
      <c r="CS114" s="61"/>
      <c r="CT114" s="76"/>
      <c r="CU114" s="65" t="str">
        <f t="shared" si="111"/>
        <v>---</v>
      </c>
      <c r="CV114" s="66" t="str">
        <f t="shared" si="81"/>
        <v>/-/ /-/</v>
      </c>
      <c r="CW114" s="63">
        <f t="shared" si="82"/>
        <v>11</v>
      </c>
      <c r="CX114" s="64">
        <f t="shared" si="83"/>
        <v>2021</v>
      </c>
      <c r="CY114" s="63">
        <f t="shared" si="84"/>
        <v>8</v>
      </c>
      <c r="CZ114" s="64">
        <f t="shared" si="85"/>
        <v>2021</v>
      </c>
      <c r="DA114" s="63">
        <f t="shared" si="86"/>
        <v>5</v>
      </c>
      <c r="DB114" s="64">
        <f t="shared" si="87"/>
        <v>2021</v>
      </c>
      <c r="DC114" s="67" t="str">
        <f t="shared" si="88"/>
        <v>- - -</v>
      </c>
      <c r="DD114" s="68" t="str">
        <f t="shared" si="89"/>
        <v>. .</v>
      </c>
      <c r="DE114" s="68"/>
      <c r="DF114" s="48">
        <f t="shared" si="90"/>
        <v>720</v>
      </c>
      <c r="DG114" s="48">
        <f t="shared" si="91"/>
        <v>-23530</v>
      </c>
      <c r="DH114" s="48">
        <f t="shared" si="92"/>
        <v>-1961</v>
      </c>
      <c r="DI114" s="48" t="str">
        <f t="shared" si="93"/>
        <v>Nam dưới 35</v>
      </c>
      <c r="DJ114" s="48"/>
      <c r="DK114" s="48"/>
      <c r="DL114" s="53" t="str">
        <f t="shared" si="94"/>
        <v>Đến 30</v>
      </c>
      <c r="DM114" s="61" t="str">
        <f t="shared" si="104"/>
        <v>--</v>
      </c>
      <c r="DN114" s="32"/>
      <c r="DO114" s="31"/>
      <c r="DP114" s="122"/>
      <c r="DQ114" s="76"/>
      <c r="DR114" s="76"/>
      <c r="DS114" s="77"/>
      <c r="DT114" s="78"/>
      <c r="DU114" s="71"/>
      <c r="DV114" s="84"/>
      <c r="DW114" s="33" t="s">
        <v>368</v>
      </c>
      <c r="DX114" s="315" t="s">
        <v>416</v>
      </c>
      <c r="DY114" s="33" t="s">
        <v>365</v>
      </c>
      <c r="DZ114" s="44" t="s">
        <v>341</v>
      </c>
      <c r="EA114" s="45" t="s">
        <v>359</v>
      </c>
      <c r="EB114" s="45" t="s">
        <v>341</v>
      </c>
      <c r="EC114" s="45" t="s">
        <v>359</v>
      </c>
      <c r="ED114" s="72">
        <v>2013</v>
      </c>
      <c r="EE114" s="45">
        <f t="shared" si="96"/>
        <v>0</v>
      </c>
      <c r="EF114" s="73" t="str">
        <f t="shared" si="97"/>
        <v>- - -</v>
      </c>
      <c r="EG114" s="44" t="s">
        <v>341</v>
      </c>
      <c r="EH114" s="45" t="s">
        <v>359</v>
      </c>
      <c r="EI114" s="45" t="s">
        <v>341</v>
      </c>
      <c r="EJ114" s="45" t="s">
        <v>359</v>
      </c>
      <c r="EK114" s="72">
        <v>2013</v>
      </c>
      <c r="EL114" s="31"/>
      <c r="EM114" s="51" t="str">
        <f>IF(AND(BE114&gt;0.34,AF114=1,OR(BD114=6.2,BD114=5.75)),((BD114-EL114)-2*0.34),IF(AND(BE114&gt;0.33,AF114=1,OR(BD114=4.4,BD114=4)),((BD114-EL114)-2*0.33),"- - -"))</f>
        <v>- - -</v>
      </c>
      <c r="EN114" s="74" t="str">
        <f t="shared" si="99"/>
        <v>---</v>
      </c>
      <c r="EO114" s="84"/>
    </row>
    <row r="115" spans="1:174" s="244" customFormat="1" ht="11.25" customHeight="1" x14ac:dyDescent="0.2">
      <c r="A115" s="100">
        <v>797</v>
      </c>
      <c r="B115" s="296">
        <v>153</v>
      </c>
      <c r="C115" s="31"/>
      <c r="D115" s="31" t="str">
        <f t="shared" si="56"/>
        <v>Bà</v>
      </c>
      <c r="E115" s="37" t="s">
        <v>90</v>
      </c>
      <c r="F115" s="31" t="s">
        <v>380</v>
      </c>
      <c r="G115" s="60" t="s">
        <v>373</v>
      </c>
      <c r="H115" s="508" t="s">
        <v>359</v>
      </c>
      <c r="I115" s="60" t="s">
        <v>376</v>
      </c>
      <c r="J115" s="508" t="s">
        <v>359</v>
      </c>
      <c r="K115" s="37" t="s">
        <v>321</v>
      </c>
      <c r="L115" s="157" t="s">
        <v>434</v>
      </c>
      <c r="M115" s="526" t="str">
        <f t="shared" si="57"/>
        <v>NLĐ</v>
      </c>
      <c r="N115" s="163"/>
      <c r="O115" s="509" t="e">
        <f t="shared" si="58"/>
        <v>#N/A</v>
      </c>
      <c r="P115" s="37"/>
      <c r="Q115" s="296" t="e">
        <f>VLOOKUP(P115,'[1]- DLiêu Gốc (Không sửa)'!$C$2:$H$116,2,0)</f>
        <v>#N/A</v>
      </c>
      <c r="R115" s="83" t="s">
        <v>368</v>
      </c>
      <c r="S115" s="521" t="s">
        <v>566</v>
      </c>
      <c r="T115" s="35" t="str">
        <f>VLOOKUP(Y115,'- DLiêu Gốc -'!$C$2:$H$60,5,0)</f>
        <v>C</v>
      </c>
      <c r="U115" s="36" t="str">
        <f>VLOOKUP(Y115,'- DLiêu Gốc -'!$C$2:$H$60,6,0)</f>
        <v>Nhân viên</v>
      </c>
      <c r="V115" s="537" t="s">
        <v>425</v>
      </c>
      <c r="W115" s="295" t="str">
        <f t="shared" si="59"/>
        <v>Nhân viên</v>
      </c>
      <c r="X115" s="298" t="str">
        <f t="shared" si="60"/>
        <v>01.005</v>
      </c>
      <c r="Y115" s="317" t="s">
        <v>355</v>
      </c>
      <c r="Z115" s="317" t="str">
        <f>VLOOKUP(Y115,'- DLiêu Gốc -'!$C$1:$H$133,2,0)</f>
        <v>01.009</v>
      </c>
      <c r="AA115" s="48" t="str">
        <f t="shared" si="61"/>
        <v>Lương</v>
      </c>
      <c r="AB115" s="139">
        <v>12</v>
      </c>
      <c r="AC115" s="407" t="str">
        <f>IF(AD115&gt;0,"/")</f>
        <v>/</v>
      </c>
      <c r="AD115" s="39">
        <f>IF(OR(BE115=0.18,BE115=0.2),12,IF(BE115=0.31,10,IF(BE115=0.33,9,IF(BE115=0.34,8,IF(BE115=0.36,6)))))</f>
        <v>12</v>
      </c>
      <c r="AE115" s="50">
        <f t="shared" si="62"/>
        <v>2.98</v>
      </c>
      <c r="AF115" s="41">
        <v>10</v>
      </c>
      <c r="AG115" s="333" t="str">
        <f>IF(AD115=AB115,"%",IF(AD115&gt;AB115,"/"))</f>
        <v>%</v>
      </c>
      <c r="AH115" s="421"/>
      <c r="AI115" s="405"/>
      <c r="AJ115" s="42"/>
      <c r="AK115" s="405"/>
      <c r="AL115" s="754"/>
      <c r="AM115" s="126"/>
      <c r="AN115" s="49"/>
      <c r="AO115" s="440"/>
      <c r="AP115" s="442"/>
      <c r="AQ115" s="438"/>
      <c r="AR115" s="423">
        <f>IF(AND(AD115=AB115,AF115=0),5,IF(AND(AD115=AB115,AF115&gt;4),AF115+1,IF(AD115&gt;AB115,AD115)))</f>
        <v>11</v>
      </c>
      <c r="AS115" s="333" t="str">
        <f>IF(AD115=AB115,"%",IF(AD115&gt;AB115,AE115+BE115))</f>
        <v>%</v>
      </c>
      <c r="AT115" s="44" t="s">
        <v>341</v>
      </c>
      <c r="AU115" s="395" t="s">
        <v>359</v>
      </c>
      <c r="AV115" s="45" t="s">
        <v>341</v>
      </c>
      <c r="AW115" s="395" t="s">
        <v>359</v>
      </c>
      <c r="AX115" s="46">
        <v>2021</v>
      </c>
      <c r="AY115" s="84"/>
      <c r="AZ115" s="383"/>
      <c r="BA115" s="392">
        <v>1.18</v>
      </c>
      <c r="BB115" s="47">
        <f t="shared" si="67"/>
        <v>1</v>
      </c>
      <c r="BC115" s="253">
        <f t="shared" si="68"/>
        <v>-24253</v>
      </c>
      <c r="BD115" s="205">
        <f>VLOOKUP(Y115,'- DLiêu Gốc -'!$C$1:$F$60,3,0)</f>
        <v>1</v>
      </c>
      <c r="BE115" s="205">
        <f>VLOOKUP(Y115,'- DLiêu Gốc -'!$C$1:$F$60,4,0)</f>
        <v>0.18</v>
      </c>
      <c r="BF115" s="53" t="str">
        <f t="shared" si="69"/>
        <v>o-o-o</v>
      </c>
      <c r="BG115" s="54"/>
      <c r="BH115" s="343"/>
      <c r="BI115" s="342"/>
      <c r="BJ115" s="400"/>
      <c r="BK115" s="336"/>
      <c r="BL115" s="400"/>
      <c r="BM115" s="101"/>
      <c r="BN115" s="126"/>
      <c r="BO115" s="58"/>
      <c r="BP115" s="55"/>
      <c r="BQ115" s="346"/>
      <c r="BR115" s="56"/>
      <c r="BS115" s="395"/>
      <c r="BT115" s="337"/>
      <c r="BU115" s="395"/>
      <c r="BV115" s="46"/>
      <c r="BW115" s="87"/>
      <c r="BX115" s="125"/>
      <c r="BY115" s="254" t="str">
        <f t="shared" si="70"/>
        <v>- - -</v>
      </c>
      <c r="BZ115" s="53" t="str">
        <f>IF(AND(CV115="Hưu",BG115&gt;3),12-(12*(DB115-BV115)+(DA115-BT115))-BN115,"- - -")</f>
        <v>- - -</v>
      </c>
      <c r="CA115" s="316" t="str">
        <f t="shared" si="72"/>
        <v>Chánh Văn phòng Học viện, Trưởng Ban Tổ chức - Cán bộ, Trưởng Phân viện Học viện Hành chính Quốc gia tại Thành phố Hồ Chí Minh</v>
      </c>
      <c r="CB115" s="59" t="str">
        <f t="shared" si="73"/>
        <v>A</v>
      </c>
      <c r="CC115" s="38" t="str">
        <f>IF(AND(AF115&gt;0,AB115&lt;(AD115-1),CD115&gt;0,CD115&lt;13,OR(AND(CJ115="Cùg Ng",($CC$2-CF115)&gt;BB115),CJ115="- - -")),"Sớm TT","=&gt; s")</f>
        <v>=&gt; s</v>
      </c>
      <c r="CD115" s="48" t="str">
        <f t="shared" si="75"/>
        <v>---</v>
      </c>
      <c r="CE115" s="31" t="str">
        <f t="shared" si="76"/>
        <v>---</v>
      </c>
      <c r="CF115" s="31"/>
      <c r="CG115" s="303"/>
      <c r="CH115" s="31"/>
      <c r="CI115" s="31"/>
      <c r="CJ115" s="31" t="str">
        <f t="shared" si="77"/>
        <v>- - -</v>
      </c>
      <c r="CK115" s="51" t="str">
        <f t="shared" si="78"/>
        <v>- - -</v>
      </c>
      <c r="CL115" s="61"/>
      <c r="CM115" s="62"/>
      <c r="CN115" s="61"/>
      <c r="CO115" s="76"/>
      <c r="CP115" s="51" t="str">
        <f t="shared" si="79"/>
        <v>- - -</v>
      </c>
      <c r="CQ115" s="61"/>
      <c r="CR115" s="32"/>
      <c r="CS115" s="61"/>
      <c r="CT115" s="76"/>
      <c r="CU115" s="65" t="str">
        <f t="shared" si="111"/>
        <v>---</v>
      </c>
      <c r="CV115" s="66" t="str">
        <f t="shared" si="81"/>
        <v>/-/ /-/</v>
      </c>
      <c r="CW115" s="63">
        <f t="shared" si="82"/>
        <v>5</v>
      </c>
      <c r="CX115" s="64">
        <f t="shared" si="83"/>
        <v>2028</v>
      </c>
      <c r="CY115" s="63">
        <f t="shared" si="84"/>
        <v>2</v>
      </c>
      <c r="CZ115" s="64">
        <f t="shared" si="85"/>
        <v>2028</v>
      </c>
      <c r="DA115" s="63">
        <f t="shared" si="86"/>
        <v>11</v>
      </c>
      <c r="DB115" s="64">
        <f t="shared" si="87"/>
        <v>2027</v>
      </c>
      <c r="DC115" s="67" t="str">
        <f t="shared" si="88"/>
        <v>- - -</v>
      </c>
      <c r="DD115" s="68" t="str">
        <f t="shared" si="89"/>
        <v>. .</v>
      </c>
      <c r="DE115" s="68"/>
      <c r="DF115" s="48">
        <f t="shared" si="90"/>
        <v>660</v>
      </c>
      <c r="DG115" s="48">
        <f t="shared" si="91"/>
        <v>-23668</v>
      </c>
      <c r="DH115" s="48">
        <f t="shared" si="92"/>
        <v>-1973</v>
      </c>
      <c r="DI115" s="48" t="str">
        <f t="shared" si="93"/>
        <v>Nữ dưới 30</v>
      </c>
      <c r="DJ115" s="48"/>
      <c r="DK115" s="48"/>
      <c r="DL115" s="53" t="str">
        <f t="shared" si="94"/>
        <v>Đến 30</v>
      </c>
      <c r="DM115" s="61" t="str">
        <f t="shared" si="104"/>
        <v>--</v>
      </c>
      <c r="DN115" s="32"/>
      <c r="DO115" s="88"/>
      <c r="DP115" s="69"/>
      <c r="DQ115" s="32"/>
      <c r="DR115" s="32"/>
      <c r="DS115" s="70"/>
      <c r="DT115" s="37"/>
      <c r="DU115" s="71"/>
      <c r="DV115" s="84"/>
      <c r="DW115" s="124" t="s">
        <v>368</v>
      </c>
      <c r="DX115" s="315" t="s">
        <v>416</v>
      </c>
      <c r="DY115" s="124" t="s">
        <v>365</v>
      </c>
      <c r="DZ115" s="44" t="s">
        <v>341</v>
      </c>
      <c r="EA115" s="45" t="s">
        <v>359</v>
      </c>
      <c r="EB115" s="45" t="s">
        <v>341</v>
      </c>
      <c r="EC115" s="45" t="s">
        <v>359</v>
      </c>
      <c r="ED115" s="72">
        <v>2013</v>
      </c>
      <c r="EE115" s="45">
        <f t="shared" si="96"/>
        <v>0</v>
      </c>
      <c r="EF115" s="73" t="str">
        <f t="shared" si="97"/>
        <v>- - -</v>
      </c>
      <c r="EG115" s="44" t="s">
        <v>341</v>
      </c>
      <c r="EH115" s="45" t="s">
        <v>359</v>
      </c>
      <c r="EI115" s="45" t="s">
        <v>341</v>
      </c>
      <c r="EJ115" s="45" t="s">
        <v>359</v>
      </c>
      <c r="EK115" s="72">
        <v>2013</v>
      </c>
      <c r="EL115" s="31"/>
      <c r="EM115" s="51" t="str">
        <f>IF(AND(BE115&gt;0.34,AF115=1,OR(BD115=6.2,BD115=5.75)),((BD115-EL115)-2*0.34),IF(AND(BE115&gt;0.33,AF115=1,OR(BD115=4.4,BD115=4)),((BD115-EL115)-2*0.33),"- - -"))</f>
        <v>- - -</v>
      </c>
      <c r="EN115" s="74" t="str">
        <f t="shared" si="99"/>
        <v>---</v>
      </c>
      <c r="EO115" s="84"/>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row>
    <row r="116" spans="1:174" s="554" customFormat="1" ht="11.25" customHeight="1" x14ac:dyDescent="0.25">
      <c r="A116" s="100">
        <v>821</v>
      </c>
      <c r="B116" s="296">
        <v>178</v>
      </c>
      <c r="C116" s="31"/>
      <c r="D116" s="31" t="str">
        <f t="shared" si="56"/>
        <v>Bà</v>
      </c>
      <c r="E116" s="37" t="s">
        <v>578</v>
      </c>
      <c r="F116" s="31" t="s">
        <v>380</v>
      </c>
      <c r="G116" s="60" t="s">
        <v>382</v>
      </c>
      <c r="H116" s="508" t="s">
        <v>359</v>
      </c>
      <c r="I116" s="60" t="s">
        <v>374</v>
      </c>
      <c r="J116" s="508" t="s">
        <v>359</v>
      </c>
      <c r="K116" s="37">
        <v>1973</v>
      </c>
      <c r="L116" s="157" t="s">
        <v>451</v>
      </c>
      <c r="M116" s="526" t="str">
        <f t="shared" si="57"/>
        <v>VC</v>
      </c>
      <c r="N116" s="163"/>
      <c r="O116" s="509" t="e">
        <f t="shared" si="58"/>
        <v>#N/A</v>
      </c>
      <c r="P116" s="37"/>
      <c r="Q116" s="296" t="e">
        <f>VLOOKUP(P116,'[1]- DLiêu Gốc (Không sửa)'!$C$2:$H$116,2,0)</f>
        <v>#N/A</v>
      </c>
      <c r="R116" s="37" t="s">
        <v>579</v>
      </c>
      <c r="S116" s="521" t="s">
        <v>111</v>
      </c>
      <c r="T116" s="35" t="str">
        <f>VLOOKUP(Y116,'- DLiêu Gốc -'!$C$2:$H$60,5,0)</f>
        <v>A1</v>
      </c>
      <c r="U116" s="36" t="str">
        <f>VLOOKUP(Y116,'- DLiêu Gốc -'!$C$2:$H$60,6,0)</f>
        <v>- - -</v>
      </c>
      <c r="V116" s="537" t="s">
        <v>424</v>
      </c>
      <c r="W116" s="295" t="str">
        <f t="shared" si="59"/>
        <v>Giảng viên (hạng III)</v>
      </c>
      <c r="X116" s="93" t="str">
        <f t="shared" si="60"/>
        <v>V.07.01.03</v>
      </c>
      <c r="Y116" s="317" t="s">
        <v>430</v>
      </c>
      <c r="Z116" s="317" t="str">
        <f>VLOOKUP(Y116,'- DLiêu Gốc -'!$C$1:$H$133,2,0)</f>
        <v>V.07.01.03</v>
      </c>
      <c r="AA116" s="48" t="str">
        <f t="shared" si="61"/>
        <v>Lương</v>
      </c>
      <c r="AB116" s="139">
        <v>8</v>
      </c>
      <c r="AC116" s="407" t="str">
        <f>IF(AD116&gt;0,"/")</f>
        <v>/</v>
      </c>
      <c r="AD116" s="39">
        <f>IF(OR(BE116=0.18,BE116=0.2),12,IF(BE116=0.31,10,IF(BE116=0.33,9,IF(BE116=0.34,8,IF(BE116=0.36,6)))))</f>
        <v>9</v>
      </c>
      <c r="AE116" s="50">
        <f t="shared" si="62"/>
        <v>4.6500000000000004</v>
      </c>
      <c r="AF116" s="331"/>
      <c r="AG116" s="331"/>
      <c r="AH116" s="421"/>
      <c r="AI116" s="405" t="s">
        <v>359</v>
      </c>
      <c r="AJ116" s="42"/>
      <c r="AK116" s="405" t="s">
        <v>359</v>
      </c>
      <c r="AL116" s="422"/>
      <c r="AM116" s="118"/>
      <c r="AN116" s="49"/>
      <c r="AO116" s="41">
        <f>AB116+1</f>
        <v>9</v>
      </c>
      <c r="AP116" s="401" t="str">
        <f>IF(AD116=AB116,"%",IF(AD116&gt;AB116,"/"))</f>
        <v>/</v>
      </c>
      <c r="AQ116" s="80">
        <f>IF(AND(AD116=AB116,AO116=4),5,IF(AND(AD116=AB116,AO116&gt;4),AO116+1,IF(AD116&gt;AB116,AD116)))</f>
        <v>9</v>
      </c>
      <c r="AR116" s="43">
        <f>IF(AD116=AB116,"%",IF(AD116&gt;AB116,AE116+BE116))</f>
        <v>4.9800000000000004</v>
      </c>
      <c r="AS116" s="333"/>
      <c r="AT116" s="44" t="s">
        <v>341</v>
      </c>
      <c r="AU116" s="395" t="s">
        <v>359</v>
      </c>
      <c r="AV116" s="45" t="s">
        <v>341</v>
      </c>
      <c r="AW116" s="395" t="s">
        <v>359</v>
      </c>
      <c r="AX116" s="46">
        <v>2021</v>
      </c>
      <c r="AY116" s="84"/>
      <c r="AZ116" s="191" t="s">
        <v>611</v>
      </c>
      <c r="BA116" s="392">
        <v>1.18</v>
      </c>
      <c r="BB116" s="47">
        <f t="shared" si="67"/>
        <v>3</v>
      </c>
      <c r="BC116" s="253">
        <f t="shared" si="68"/>
        <v>-24253</v>
      </c>
      <c r="BD116" s="205">
        <f>VLOOKUP(Y116,'- DLiêu Gốc -'!$C$1:$F$60,3,0)</f>
        <v>2.34</v>
      </c>
      <c r="BE116" s="205">
        <f>VLOOKUP(Y116,'- DLiêu Gốc -'!$C$1:$F$60,4,0)</f>
        <v>0.33</v>
      </c>
      <c r="BF116" s="53" t="str">
        <f t="shared" si="69"/>
        <v>PCTN</v>
      </c>
      <c r="BG116" s="54">
        <v>13</v>
      </c>
      <c r="BH116" s="343" t="s">
        <v>332</v>
      </c>
      <c r="BI116" s="56" t="s">
        <v>341</v>
      </c>
      <c r="BJ116" s="400" t="s">
        <v>359</v>
      </c>
      <c r="BK116" s="341" t="s">
        <v>370</v>
      </c>
      <c r="BL116" s="400" t="s">
        <v>359</v>
      </c>
      <c r="BM116" s="178">
        <v>2019</v>
      </c>
      <c r="BN116" s="118"/>
      <c r="BO116" s="58"/>
      <c r="BP116" s="55">
        <f>IF(BG116&gt;3,BG116+1,0)</f>
        <v>14</v>
      </c>
      <c r="BQ116" s="348" t="s">
        <v>332</v>
      </c>
      <c r="BR116" s="56" t="s">
        <v>341</v>
      </c>
      <c r="BS116" s="395" t="s">
        <v>359</v>
      </c>
      <c r="BT116" s="339" t="s">
        <v>370</v>
      </c>
      <c r="BU116" s="395" t="s">
        <v>359</v>
      </c>
      <c r="BV116" s="46">
        <v>2020</v>
      </c>
      <c r="BW116" s="57" t="s">
        <v>607</v>
      </c>
      <c r="BX116" s="125"/>
      <c r="BY116" s="254">
        <f t="shared" si="70"/>
        <v>-24250</v>
      </c>
      <c r="BZ116" s="53" t="str">
        <f>IF(AND(CV116="Hưu",BG116&gt;3),12-(12*(DB116-BV116)+(DA116-BT116))-BN116,"- - -")</f>
        <v>- - -</v>
      </c>
      <c r="CA116" s="316" t="str">
        <f t="shared" si="72"/>
        <v>Chánh Văn phòng Học viện, Trưởng Ban Tổ chức - Cán bộ, Trưởng Khoa Quản lý nhà nước về Xã hội</v>
      </c>
      <c r="CB116" s="59" t="str">
        <f t="shared" si="73"/>
        <v>A</v>
      </c>
      <c r="CC116" s="38" t="str">
        <f>IF(AND(AO116&gt;0,AB116&lt;(AD116-1),CD116&gt;0,CD116&lt;13,OR(AND(CJ116="Cùg Ng",($CC$2-CF116)&gt;BB116),CJ116="- - -")),"Sớm TT","=&gt; s")</f>
        <v>=&gt; s</v>
      </c>
      <c r="CD116" s="48">
        <f t="shared" si="75"/>
        <v>24277</v>
      </c>
      <c r="CE116" s="31" t="str">
        <f t="shared" si="76"/>
        <v>---</v>
      </c>
      <c r="CF116" s="31"/>
      <c r="CG116" s="175"/>
      <c r="CH116" s="31"/>
      <c r="CI116" s="31"/>
      <c r="CJ116" s="31" t="str">
        <f t="shared" si="77"/>
        <v>- - -</v>
      </c>
      <c r="CK116" s="51" t="str">
        <f t="shared" si="78"/>
        <v>- - -</v>
      </c>
      <c r="CL116" s="61"/>
      <c r="CM116" s="62"/>
      <c r="CN116" s="61"/>
      <c r="CO116" s="76"/>
      <c r="CP116" s="51" t="str">
        <f t="shared" si="79"/>
        <v>CN</v>
      </c>
      <c r="CQ116" s="61">
        <v>6</v>
      </c>
      <c r="CR116" s="62">
        <v>2013</v>
      </c>
      <c r="CS116" s="61"/>
      <c r="CT116" s="76"/>
      <c r="CU116" s="65" t="str">
        <f t="shared" si="111"/>
        <v>---</v>
      </c>
      <c r="CV116" s="66" t="str">
        <f t="shared" si="81"/>
        <v>/-/ /-/</v>
      </c>
      <c r="CW116" s="63">
        <f t="shared" si="82"/>
        <v>2</v>
      </c>
      <c r="CX116" s="64">
        <f t="shared" si="83"/>
        <v>2028</v>
      </c>
      <c r="CY116" s="63">
        <f t="shared" si="84"/>
        <v>11</v>
      </c>
      <c r="CZ116" s="64">
        <f t="shared" si="85"/>
        <v>2027</v>
      </c>
      <c r="DA116" s="63">
        <f t="shared" si="86"/>
        <v>8</v>
      </c>
      <c r="DB116" s="64">
        <f t="shared" si="87"/>
        <v>2027</v>
      </c>
      <c r="DC116" s="67" t="str">
        <f t="shared" si="88"/>
        <v>- - -</v>
      </c>
      <c r="DD116" s="68" t="str">
        <f t="shared" si="89"/>
        <v>. .</v>
      </c>
      <c r="DE116" s="68"/>
      <c r="DF116" s="48">
        <f t="shared" si="90"/>
        <v>660</v>
      </c>
      <c r="DG116" s="48">
        <f t="shared" si="91"/>
        <v>-23665</v>
      </c>
      <c r="DH116" s="48">
        <f t="shared" si="92"/>
        <v>-1973</v>
      </c>
      <c r="DI116" s="48" t="str">
        <f t="shared" si="93"/>
        <v>Nữ dưới 30</v>
      </c>
      <c r="DJ116" s="48"/>
      <c r="DK116" s="48"/>
      <c r="DL116" s="53" t="str">
        <f t="shared" si="94"/>
        <v>Đến 30</v>
      </c>
      <c r="DM116" s="61" t="str">
        <f t="shared" si="104"/>
        <v>--</v>
      </c>
      <c r="DN116" s="32"/>
      <c r="DO116" s="31" t="s">
        <v>261</v>
      </c>
      <c r="DP116" s="122">
        <v>6</v>
      </c>
      <c r="DQ116" s="32">
        <v>2013</v>
      </c>
      <c r="DR116" s="32"/>
      <c r="DS116" s="70"/>
      <c r="DT116" s="37"/>
      <c r="DU116" s="71"/>
      <c r="DV116" s="84"/>
      <c r="DW116" s="33" t="s">
        <v>63</v>
      </c>
      <c r="DX116" s="315" t="s">
        <v>416</v>
      </c>
      <c r="DY116" s="33" t="s">
        <v>63</v>
      </c>
      <c r="DZ116" s="44" t="s">
        <v>341</v>
      </c>
      <c r="EA116" s="45" t="s">
        <v>359</v>
      </c>
      <c r="EB116" s="45" t="s">
        <v>348</v>
      </c>
      <c r="EC116" s="45" t="s">
        <v>359</v>
      </c>
      <c r="ED116" s="72">
        <v>2012</v>
      </c>
      <c r="EE116" s="45">
        <f t="shared" si="96"/>
        <v>0</v>
      </c>
      <c r="EF116" s="73" t="str">
        <f t="shared" si="97"/>
        <v>- - -</v>
      </c>
      <c r="EG116" s="44" t="s">
        <v>341</v>
      </c>
      <c r="EH116" s="45" t="s">
        <v>359</v>
      </c>
      <c r="EI116" s="45" t="s">
        <v>348</v>
      </c>
      <c r="EJ116" s="45" t="s">
        <v>359</v>
      </c>
      <c r="EK116" s="72">
        <v>2012</v>
      </c>
      <c r="EL116" s="31"/>
      <c r="EM116" s="51" t="str">
        <f>IF(AND(BE116&gt;0.34,AO116=1,OR(BD116=6.2,BD116=5.75)),((BD116-EL116)-2*0.34),IF(AND(BE116&gt;0.33,AO116=1,OR(BD116=4.4,BD116=4)),((BD116-EL116)-2*0.33),"- - -"))</f>
        <v>- - -</v>
      </c>
      <c r="EN116" s="74" t="str">
        <f t="shared" si="99"/>
        <v>---</v>
      </c>
      <c r="EO116" s="84"/>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row>
    <row r="117" spans="1:174" s="1982" customFormat="1" ht="11.25" customHeight="1" x14ac:dyDescent="0.2">
      <c r="A117" s="1907">
        <v>772</v>
      </c>
      <c r="B117" s="1785">
        <v>32</v>
      </c>
      <c r="C117" s="1988"/>
      <c r="D117" s="1988" t="s">
        <v>134</v>
      </c>
      <c r="E117" s="1989" t="s">
        <v>91</v>
      </c>
      <c r="F117" s="1988" t="s">
        <v>380</v>
      </c>
      <c r="G117" s="1990" t="s">
        <v>327</v>
      </c>
      <c r="H117" s="1991" t="s">
        <v>359</v>
      </c>
      <c r="I117" s="1990" t="s">
        <v>346</v>
      </c>
      <c r="J117" s="1991" t="s">
        <v>359</v>
      </c>
      <c r="K117" s="1992" t="s">
        <v>309</v>
      </c>
      <c r="L117" s="1993" t="s">
        <v>434</v>
      </c>
      <c r="M117" s="1994" t="s">
        <v>584</v>
      </c>
      <c r="N117" s="1995"/>
      <c r="O117" s="1996" t="e">
        <v>#N/A</v>
      </c>
      <c r="P117" s="1992"/>
      <c r="Q117" s="1997" t="e">
        <v>#N/A</v>
      </c>
      <c r="R117" s="1998" t="s">
        <v>368</v>
      </c>
      <c r="S117" s="1999" t="s">
        <v>566</v>
      </c>
      <c r="T117" s="2000" t="s">
        <v>300</v>
      </c>
      <c r="U117" s="2001" t="s">
        <v>205</v>
      </c>
      <c r="V117" s="2002" t="s">
        <v>425</v>
      </c>
      <c r="W117" s="2003" t="s">
        <v>61</v>
      </c>
      <c r="X117" s="2002" t="s">
        <v>181</v>
      </c>
      <c r="Y117" s="2004" t="s">
        <v>61</v>
      </c>
      <c r="Z117" s="2005" t="s">
        <v>181</v>
      </c>
      <c r="AA117" s="1994" t="s">
        <v>410</v>
      </c>
      <c r="AB117" s="2006">
        <v>7</v>
      </c>
      <c r="AC117" s="2007" t="s">
        <v>359</v>
      </c>
      <c r="AD117" s="2008">
        <v>12</v>
      </c>
      <c r="AE117" s="1919">
        <v>3.0600000000000005</v>
      </c>
      <c r="AF117" s="2009"/>
      <c r="AG117" s="2009"/>
      <c r="AH117" s="2010" t="s">
        <v>341</v>
      </c>
      <c r="AI117" s="1348" t="s">
        <v>359</v>
      </c>
      <c r="AJ117" s="2011" t="s">
        <v>345</v>
      </c>
      <c r="AK117" s="1348" t="s">
        <v>359</v>
      </c>
      <c r="AL117" s="1350">
        <v>2018</v>
      </c>
      <c r="AM117" s="2012"/>
      <c r="AN117" s="2013"/>
      <c r="AO117" s="2014">
        <v>8</v>
      </c>
      <c r="AP117" s="2015" t="s">
        <v>359</v>
      </c>
      <c r="AQ117" s="2016">
        <v>12</v>
      </c>
      <c r="AR117" s="1993">
        <v>3.2600000000000007</v>
      </c>
      <c r="AS117" s="2017"/>
      <c r="AT117" s="2018" t="s">
        <v>341</v>
      </c>
      <c r="AU117" s="2019" t="s">
        <v>359</v>
      </c>
      <c r="AV117" s="2020" t="s">
        <v>345</v>
      </c>
      <c r="AW117" s="2019" t="s">
        <v>359</v>
      </c>
      <c r="AX117" s="1334">
        <v>2020</v>
      </c>
      <c r="AY117" s="1323"/>
      <c r="AZ117" s="2021"/>
      <c r="BA117" s="1362"/>
      <c r="BB117" s="2022">
        <v>2</v>
      </c>
      <c r="BC117" s="2023">
        <v>0</v>
      </c>
      <c r="BD117" s="1919">
        <v>1.86</v>
      </c>
      <c r="BE117" s="1919">
        <v>0.2</v>
      </c>
      <c r="BF117" s="2024" t="s">
        <v>412</v>
      </c>
      <c r="BG117" s="2025"/>
      <c r="BH117" s="2026"/>
      <c r="BI117" s="2027"/>
      <c r="BJ117" s="2019"/>
      <c r="BK117" s="2028"/>
      <c r="BL117" s="2019"/>
      <c r="BM117" s="2029"/>
      <c r="BN117" s="2012"/>
      <c r="BO117" s="2030"/>
      <c r="BP117" s="2031"/>
      <c r="BQ117" s="2032"/>
      <c r="BR117" s="2027"/>
      <c r="BS117" s="2019"/>
      <c r="BT117" s="2028"/>
      <c r="BU117" s="2019"/>
      <c r="BV117" s="2029"/>
      <c r="BW117" s="2033"/>
      <c r="BX117" s="2034"/>
      <c r="BY117" s="2035" t="s">
        <v>205</v>
      </c>
      <c r="BZ117" s="2024" t="s">
        <v>205</v>
      </c>
      <c r="CA117" s="1992" t="s">
        <v>590</v>
      </c>
      <c r="CB117" s="2036" t="s">
        <v>360</v>
      </c>
      <c r="CC117" s="2037" t="s">
        <v>263</v>
      </c>
      <c r="CD117" s="1994">
        <v>56</v>
      </c>
      <c r="CE117" s="1988" t="s">
        <v>105</v>
      </c>
      <c r="CF117" s="1988"/>
      <c r="CG117" s="2038"/>
      <c r="CH117" s="1988"/>
      <c r="CI117" s="2039"/>
      <c r="CJ117" s="1988" t="s">
        <v>205</v>
      </c>
      <c r="CK117" s="2040" t="s">
        <v>205</v>
      </c>
      <c r="CL117" s="2041"/>
      <c r="CM117" s="2042"/>
      <c r="CN117" s="2041"/>
      <c r="CO117" s="2043"/>
      <c r="CP117" s="2040" t="s">
        <v>205</v>
      </c>
      <c r="CQ117" s="2041"/>
      <c r="CR117" s="2044"/>
      <c r="CS117" s="2041"/>
      <c r="CT117" s="2043"/>
      <c r="CU117" s="2045" t="s">
        <v>105</v>
      </c>
      <c r="CV117" s="2046" t="s">
        <v>45</v>
      </c>
      <c r="CW117" s="2047">
        <v>4</v>
      </c>
      <c r="CX117" s="2048">
        <v>2039</v>
      </c>
      <c r="CY117" s="2047">
        <v>1</v>
      </c>
      <c r="CZ117" s="2048">
        <v>2039</v>
      </c>
      <c r="DA117" s="2047">
        <v>10</v>
      </c>
      <c r="DB117" s="2048">
        <v>2038</v>
      </c>
      <c r="DC117" s="2049" t="s">
        <v>205</v>
      </c>
      <c r="DD117" s="2050" t="s">
        <v>195</v>
      </c>
      <c r="DE117" s="2050"/>
      <c r="DF117" s="1994">
        <v>660</v>
      </c>
      <c r="DG117" s="1994">
        <v>417</v>
      </c>
      <c r="DH117" s="1994">
        <v>30</v>
      </c>
      <c r="DI117" s="1994" t="s">
        <v>403</v>
      </c>
      <c r="DJ117" s="1994"/>
      <c r="DK117" s="1994"/>
      <c r="DL117" s="2024" t="s">
        <v>196</v>
      </c>
      <c r="DM117" s="2041" t="s">
        <v>208</v>
      </c>
      <c r="DN117" s="2044"/>
      <c r="DO117" s="1988"/>
      <c r="DP117" s="2051"/>
      <c r="DQ117" s="2044"/>
      <c r="DR117" s="2043"/>
      <c r="DS117" s="2052"/>
      <c r="DT117" s="2053"/>
      <c r="DU117" s="2054"/>
      <c r="DV117" s="2055"/>
      <c r="DW117" s="2056" t="s">
        <v>368</v>
      </c>
      <c r="DX117" s="1999" t="s">
        <v>416</v>
      </c>
      <c r="DY117" s="2056" t="s">
        <v>365</v>
      </c>
      <c r="DZ117" s="2018" t="s">
        <v>341</v>
      </c>
      <c r="EA117" s="2020" t="s">
        <v>359</v>
      </c>
      <c r="EB117" s="2020" t="s">
        <v>345</v>
      </c>
      <c r="EC117" s="2020" t="s">
        <v>359</v>
      </c>
      <c r="ED117" s="2057">
        <v>2012</v>
      </c>
      <c r="EE117" s="2020">
        <v>0</v>
      </c>
      <c r="EF117" s="2058" t="s">
        <v>205</v>
      </c>
      <c r="EG117" s="2018" t="s">
        <v>341</v>
      </c>
      <c r="EH117" s="2020" t="s">
        <v>359</v>
      </c>
      <c r="EI117" s="2020" t="s">
        <v>345</v>
      </c>
      <c r="EJ117" s="2020" t="s">
        <v>359</v>
      </c>
      <c r="EK117" s="2057">
        <v>2012</v>
      </c>
      <c r="EL117" s="1988"/>
      <c r="EM117" s="2040" t="s">
        <v>205</v>
      </c>
      <c r="EN117" s="2059" t="s">
        <v>105</v>
      </c>
      <c r="EO117" s="2055"/>
    </row>
    <row r="118" spans="1:174" s="1868" customFormat="1" ht="11.25" customHeight="1" x14ac:dyDescent="0.2">
      <c r="A118" s="1785"/>
      <c r="B118" s="1786"/>
      <c r="C118" s="1787"/>
      <c r="D118" s="1787"/>
      <c r="E118" s="1788"/>
      <c r="F118" s="1787"/>
      <c r="G118" s="1789"/>
      <c r="H118" s="1790"/>
      <c r="I118" s="1789"/>
      <c r="J118" s="1790"/>
      <c r="K118" s="1788"/>
      <c r="L118" s="1871"/>
      <c r="M118" s="1330"/>
      <c r="N118" s="1872"/>
      <c r="O118" s="1873"/>
      <c r="P118" s="1788"/>
      <c r="Q118" s="1786"/>
      <c r="R118" s="1885"/>
      <c r="S118" s="1788"/>
      <c r="T118" s="1791"/>
      <c r="U118" s="1792"/>
      <c r="V118" s="1331"/>
      <c r="W118" s="1793"/>
      <c r="X118" s="1794"/>
      <c r="Y118" s="1795"/>
      <c r="Z118" s="1795"/>
      <c r="AA118" s="1796"/>
      <c r="AB118" s="1797"/>
      <c r="AC118" s="1798"/>
      <c r="AD118" s="1799"/>
      <c r="AE118" s="1800"/>
      <c r="AF118" s="2060"/>
      <c r="AG118" s="1813"/>
      <c r="AH118" s="1801"/>
      <c r="AI118" s="1805"/>
      <c r="AJ118" s="1801"/>
      <c r="AK118" s="1805"/>
      <c r="AL118" s="2061"/>
      <c r="AM118" s="1807"/>
      <c r="AN118" s="1808"/>
      <c r="AO118" s="1891"/>
      <c r="AP118" s="1880"/>
      <c r="AQ118" s="1811"/>
      <c r="AR118" s="1881"/>
      <c r="AS118" s="1813"/>
      <c r="AT118" s="1814"/>
      <c r="AU118" s="1817"/>
      <c r="AV118" s="1816"/>
      <c r="AW118" s="1817"/>
      <c r="AX118" s="1837"/>
      <c r="AY118" s="1819"/>
      <c r="AZ118" s="1820"/>
      <c r="BA118" s="1821"/>
      <c r="BB118" s="1822"/>
      <c r="BC118" s="1823"/>
      <c r="BD118" s="1824"/>
      <c r="BE118" s="1824"/>
      <c r="BF118" s="1825"/>
      <c r="BG118" s="1826"/>
      <c r="BH118" s="1827"/>
      <c r="BI118" s="1835"/>
      <c r="BJ118" s="1829"/>
      <c r="BK118" s="1876"/>
      <c r="BL118" s="1829"/>
      <c r="BM118" s="1837"/>
      <c r="BN118" s="1807"/>
      <c r="BO118" s="1832"/>
      <c r="BP118" s="1833"/>
      <c r="BQ118" s="1834"/>
      <c r="BR118" s="1835"/>
      <c r="BS118" s="1817"/>
      <c r="BT118" s="1877"/>
      <c r="BU118" s="1817"/>
      <c r="BV118" s="1837"/>
      <c r="BW118" s="1838"/>
      <c r="BX118" s="1839"/>
      <c r="BY118" s="1840"/>
      <c r="BZ118" s="1825"/>
      <c r="CA118" s="1841"/>
      <c r="CB118" s="1842"/>
      <c r="CC118" s="1843"/>
      <c r="CD118" s="1796"/>
      <c r="CE118" s="1787"/>
      <c r="CF118" s="1787"/>
      <c r="CG118" s="1878"/>
      <c r="CH118" s="1787"/>
      <c r="CI118" s="1879"/>
      <c r="CJ118" s="1787"/>
      <c r="CK118" s="1846"/>
      <c r="CL118" s="1847"/>
      <c r="CM118" s="1848"/>
      <c r="CN118" s="1847"/>
      <c r="CO118" s="1849"/>
      <c r="CP118" s="1846"/>
      <c r="CQ118" s="1847"/>
      <c r="CR118" s="1848"/>
      <c r="CS118" s="1847"/>
      <c r="CT118" s="1849"/>
      <c r="CU118" s="1850"/>
      <c r="CV118" s="1851"/>
      <c r="CW118" s="1852"/>
      <c r="CX118" s="1853"/>
      <c r="CY118" s="1852"/>
      <c r="CZ118" s="1853"/>
      <c r="DA118" s="1852"/>
      <c r="DB118" s="1853"/>
      <c r="DC118" s="1854"/>
      <c r="DD118" s="1855"/>
      <c r="DE118" s="1855"/>
      <c r="DF118" s="1796"/>
      <c r="DG118" s="1796"/>
      <c r="DH118" s="1796"/>
      <c r="DI118" s="1796"/>
      <c r="DJ118" s="1796"/>
      <c r="DK118" s="1796"/>
      <c r="DL118" s="1825"/>
      <c r="DM118" s="1847"/>
      <c r="DN118" s="1856"/>
      <c r="DO118" s="1787"/>
      <c r="DP118" s="1857"/>
      <c r="DQ118" s="1856"/>
      <c r="DR118" s="1849"/>
      <c r="DS118" s="1858"/>
      <c r="DT118" s="1859"/>
      <c r="DU118" s="1860"/>
      <c r="DV118" s="1819"/>
      <c r="DW118" s="1861"/>
      <c r="DX118" s="1862"/>
      <c r="DY118" s="1861"/>
      <c r="DZ118" s="1814"/>
      <c r="EA118" s="1816"/>
      <c r="EB118" s="1816"/>
      <c r="EC118" s="1816"/>
      <c r="ED118" s="1864"/>
      <c r="EE118" s="1816"/>
      <c r="EF118" s="1865"/>
      <c r="EG118" s="1814"/>
      <c r="EH118" s="1816"/>
      <c r="EI118" s="1816"/>
      <c r="EJ118" s="1816"/>
      <c r="EK118" s="1864"/>
      <c r="EL118" s="1787"/>
      <c r="EM118" s="1846"/>
      <c r="EN118" s="1867"/>
      <c r="EO118" s="1819"/>
    </row>
    <row r="119" spans="1:174" s="1868" customFormat="1" ht="11.25" customHeight="1" x14ac:dyDescent="0.25">
      <c r="A119" s="1785"/>
      <c r="B119" s="1320"/>
      <c r="C119" s="1787"/>
      <c r="D119" s="1787"/>
      <c r="E119" s="1788"/>
      <c r="F119" s="1787"/>
      <c r="G119" s="1789"/>
      <c r="H119" s="1790"/>
      <c r="I119" s="1789"/>
      <c r="J119" s="1790"/>
      <c r="K119" s="1788"/>
      <c r="L119" s="1871"/>
      <c r="M119" s="1330"/>
      <c r="N119" s="1872"/>
      <c r="O119" s="1329"/>
      <c r="P119" s="1788"/>
      <c r="Q119" s="1320"/>
      <c r="R119" s="2062"/>
      <c r="S119" s="2063"/>
      <c r="T119" s="1791"/>
      <c r="U119" s="1792"/>
      <c r="V119" s="1331"/>
      <c r="W119" s="1888"/>
      <c r="X119" s="1845"/>
      <c r="Y119" s="1896"/>
      <c r="Z119" s="1896"/>
      <c r="AA119" s="1796"/>
      <c r="AB119" s="1797"/>
      <c r="AC119" s="1798"/>
      <c r="AD119" s="1799"/>
      <c r="AE119" s="1890"/>
      <c r="AF119" s="1891"/>
      <c r="AG119" s="1813"/>
      <c r="AH119" s="1894"/>
      <c r="AI119" s="1805"/>
      <c r="AJ119" s="1894"/>
      <c r="AK119" s="1805"/>
      <c r="AL119" s="2061"/>
      <c r="AM119" s="1897"/>
      <c r="AN119" s="1808"/>
      <c r="AO119" s="1905"/>
      <c r="AP119" s="1906"/>
      <c r="AQ119" s="1892"/>
      <c r="AR119" s="1881"/>
      <c r="AS119" s="1813"/>
      <c r="AT119" s="1814"/>
      <c r="AU119" s="1817"/>
      <c r="AV119" s="1816"/>
      <c r="AW119" s="1817"/>
      <c r="AX119" s="1837"/>
      <c r="AY119" s="1895"/>
      <c r="AZ119" s="1898"/>
      <c r="BA119" s="1899"/>
      <c r="BB119" s="1822"/>
      <c r="BC119" s="1327"/>
      <c r="BD119" s="1824"/>
      <c r="BE119" s="1824"/>
      <c r="BF119" s="1825"/>
      <c r="BG119" s="1826"/>
      <c r="BH119" s="1827"/>
      <c r="BI119" s="1835"/>
      <c r="BJ119" s="1829"/>
      <c r="BK119" s="1876"/>
      <c r="BL119" s="1829"/>
      <c r="BM119" s="1884"/>
      <c r="BN119" s="1807"/>
      <c r="BO119" s="1900"/>
      <c r="BP119" s="1833"/>
      <c r="BQ119" s="1834"/>
      <c r="BR119" s="1835"/>
      <c r="BS119" s="1817"/>
      <c r="BT119" s="1877"/>
      <c r="BU119" s="1817"/>
      <c r="BV119" s="1884"/>
      <c r="BW119" s="1901"/>
      <c r="BX119" s="1902"/>
      <c r="BY119" s="1328"/>
      <c r="BZ119" s="1825"/>
      <c r="CA119" s="1841"/>
      <c r="CB119" s="1842"/>
      <c r="CC119" s="1843"/>
      <c r="CD119" s="1796"/>
      <c r="CE119" s="1787"/>
      <c r="CF119" s="1787"/>
      <c r="CG119" s="1887"/>
      <c r="CH119" s="1787"/>
      <c r="CI119" s="1787"/>
      <c r="CJ119" s="1787"/>
      <c r="CK119" s="1846"/>
      <c r="CL119" s="1847"/>
      <c r="CM119" s="1848"/>
      <c r="CN119" s="1847"/>
      <c r="CO119" s="1849"/>
      <c r="CP119" s="1846"/>
      <c r="CQ119" s="1847"/>
      <c r="CR119" s="1848"/>
      <c r="CS119" s="1847"/>
      <c r="CT119" s="1849"/>
      <c r="CU119" s="1850"/>
      <c r="CV119" s="1903"/>
      <c r="CW119" s="1852"/>
      <c r="CX119" s="1853"/>
      <c r="CY119" s="1852"/>
      <c r="CZ119" s="1853"/>
      <c r="DA119" s="1852"/>
      <c r="DB119" s="1853"/>
      <c r="DC119" s="1854"/>
      <c r="DD119" s="1855"/>
      <c r="DE119" s="1855"/>
      <c r="DF119" s="1796"/>
      <c r="DG119" s="1796"/>
      <c r="DH119" s="1796"/>
      <c r="DI119" s="1796"/>
      <c r="DJ119" s="1796"/>
      <c r="DK119" s="1796"/>
      <c r="DL119" s="1825"/>
      <c r="DM119" s="1847"/>
      <c r="DN119" s="1856"/>
      <c r="DO119" s="1882"/>
      <c r="DP119" s="1883"/>
      <c r="DQ119" s="1849"/>
      <c r="DR119" s="1849"/>
      <c r="DS119" s="1904"/>
      <c r="DT119" s="1886"/>
      <c r="DU119" s="1860"/>
      <c r="DV119" s="1819"/>
      <c r="DW119" s="1893"/>
      <c r="DX119" s="1862"/>
      <c r="DY119" s="1861"/>
      <c r="DZ119" s="1814"/>
      <c r="EA119" s="1816"/>
      <c r="EB119" s="1863"/>
      <c r="EC119" s="1816"/>
      <c r="ED119" s="1864"/>
      <c r="EE119" s="1816"/>
      <c r="EF119" s="1865"/>
      <c r="EG119" s="1814"/>
      <c r="EH119" s="1816"/>
      <c r="EI119" s="1863"/>
      <c r="EJ119" s="1816"/>
      <c r="EK119" s="1864"/>
      <c r="EL119" s="1886"/>
      <c r="EM119" s="1846"/>
      <c r="EN119" s="1867"/>
      <c r="EO119" s="1819"/>
    </row>
    <row r="120" spans="1:174" s="2068" customFormat="1" ht="11.25" customHeight="1" x14ac:dyDescent="0.2">
      <c r="A120" s="1907"/>
      <c r="B120" s="2064"/>
      <c r="C120" s="1322"/>
      <c r="D120" s="1322"/>
      <c r="E120" s="1333"/>
      <c r="F120" s="1322"/>
      <c r="G120" s="1321"/>
      <c r="H120" s="1908"/>
      <c r="I120" s="1321"/>
      <c r="J120" s="1908"/>
      <c r="K120" s="1333"/>
      <c r="L120" s="1335"/>
      <c r="M120" s="1909"/>
      <c r="N120" s="1336"/>
      <c r="O120" s="1910"/>
      <c r="P120" s="1333"/>
      <c r="Q120" s="1332"/>
      <c r="R120" s="1911"/>
      <c r="S120" s="1912"/>
      <c r="T120" s="1337"/>
      <c r="U120" s="1338"/>
      <c r="V120" s="1913"/>
      <c r="W120" s="1914"/>
      <c r="X120" s="1915"/>
      <c r="Y120" s="1340"/>
      <c r="Z120" s="1340"/>
      <c r="AA120" s="1341"/>
      <c r="AB120" s="2065"/>
      <c r="AC120" s="1343"/>
      <c r="AD120" s="1344"/>
      <c r="AE120" s="1345"/>
      <c r="AF120" s="1346"/>
      <c r="AG120" s="1346"/>
      <c r="AH120" s="1347"/>
      <c r="AI120" s="1348"/>
      <c r="AJ120" s="1349"/>
      <c r="AK120" s="1348"/>
      <c r="AL120" s="1350"/>
      <c r="AM120" s="1351"/>
      <c r="AN120" s="1352"/>
      <c r="AO120" s="1353"/>
      <c r="AP120" s="1354"/>
      <c r="AQ120" s="1355"/>
      <c r="AR120" s="1356"/>
      <c r="AS120" s="1357"/>
      <c r="AT120" s="1358"/>
      <c r="AU120" s="1359"/>
      <c r="AV120" s="1360"/>
      <c r="AW120" s="1359"/>
      <c r="AX120" s="1334"/>
      <c r="AY120" s="1323"/>
      <c r="AZ120" s="2066"/>
      <c r="BA120" s="1362"/>
      <c r="BB120" s="1363"/>
      <c r="BC120" s="1918"/>
      <c r="BD120" s="1919"/>
      <c r="BE120" s="1919"/>
      <c r="BF120" s="1364"/>
      <c r="BG120" s="1365"/>
      <c r="BH120" s="1920"/>
      <c r="BI120" s="1921"/>
      <c r="BJ120" s="1367"/>
      <c r="BK120" s="1922"/>
      <c r="BL120" s="1367"/>
      <c r="BM120" s="1923"/>
      <c r="BN120" s="1351"/>
      <c r="BO120" s="1369"/>
      <c r="BP120" s="1370"/>
      <c r="BQ120" s="1371"/>
      <c r="BR120" s="1366"/>
      <c r="BS120" s="1359"/>
      <c r="BT120" s="1924"/>
      <c r="BU120" s="1359"/>
      <c r="BV120" s="1334"/>
      <c r="BW120" s="1373"/>
      <c r="BX120" s="1374"/>
      <c r="BY120" s="1400"/>
      <c r="BZ120" s="1364"/>
      <c r="CA120" s="1375"/>
      <c r="CB120" s="1376"/>
      <c r="CC120" s="1377"/>
      <c r="CD120" s="1341"/>
      <c r="CE120" s="1322"/>
      <c r="CF120" s="1322"/>
      <c r="CG120" s="1401"/>
      <c r="CH120" s="1322"/>
      <c r="CI120" s="1925"/>
      <c r="CJ120" s="1322"/>
      <c r="CK120" s="1379"/>
      <c r="CL120" s="1380"/>
      <c r="CM120" s="1381"/>
      <c r="CN120" s="1380"/>
      <c r="CO120" s="1382"/>
      <c r="CP120" s="1379"/>
      <c r="CQ120" s="1380"/>
      <c r="CR120" s="1381"/>
      <c r="CS120" s="1380"/>
      <c r="CT120" s="1382"/>
      <c r="CU120" s="1383"/>
      <c r="CV120" s="1384"/>
      <c r="CW120" s="1385"/>
      <c r="CX120" s="1386"/>
      <c r="CY120" s="1385"/>
      <c r="CZ120" s="1386"/>
      <c r="DA120" s="1385"/>
      <c r="DB120" s="1386"/>
      <c r="DC120" s="1387"/>
      <c r="DD120" s="1388"/>
      <c r="DE120" s="1388"/>
      <c r="DF120" s="1341"/>
      <c r="DG120" s="1341"/>
      <c r="DH120" s="1341"/>
      <c r="DI120" s="1341"/>
      <c r="DJ120" s="1341"/>
      <c r="DK120" s="1341"/>
      <c r="DL120" s="1364"/>
      <c r="DM120" s="1380"/>
      <c r="DN120" s="1389"/>
      <c r="DO120" s="1987"/>
      <c r="DP120" s="2067"/>
      <c r="DQ120" s="1382"/>
      <c r="DR120" s="1382"/>
      <c r="DS120" s="1391"/>
      <c r="DT120" s="1392"/>
      <c r="DU120" s="1393"/>
      <c r="DV120" s="1323"/>
      <c r="DW120" s="1394"/>
      <c r="DX120" s="1912"/>
      <c r="DY120" s="1394"/>
      <c r="DZ120" s="1358"/>
      <c r="EA120" s="1360"/>
      <c r="EB120" s="1360"/>
      <c r="EC120" s="1360"/>
      <c r="ED120" s="1395"/>
      <c r="EE120" s="1360"/>
      <c r="EF120" s="1396"/>
      <c r="EG120" s="1358"/>
      <c r="EH120" s="1360"/>
      <c r="EI120" s="1360"/>
      <c r="EJ120" s="1360"/>
      <c r="EK120" s="1395"/>
      <c r="EL120" s="1322"/>
      <c r="EM120" s="1379"/>
      <c r="EN120" s="1397"/>
      <c r="EO120" s="1323"/>
      <c r="EP120" s="1398"/>
      <c r="EQ120" s="1398"/>
      <c r="ER120" s="1398"/>
      <c r="ES120" s="1398"/>
      <c r="ET120" s="1398"/>
      <c r="EU120" s="1398"/>
      <c r="EV120" s="1398"/>
      <c r="EW120" s="1398"/>
      <c r="EX120" s="1398"/>
      <c r="EY120" s="1398"/>
      <c r="EZ120" s="1398"/>
      <c r="FA120" s="1398"/>
      <c r="FB120" s="1398"/>
      <c r="FC120" s="1398"/>
      <c r="FD120" s="1398"/>
      <c r="FE120" s="1398"/>
      <c r="FF120" s="1398"/>
      <c r="FG120" s="1398"/>
      <c r="FH120" s="1398"/>
      <c r="FI120" s="1398"/>
      <c r="FJ120" s="1398"/>
      <c r="FK120" s="1398"/>
      <c r="FL120" s="1398"/>
      <c r="FM120" s="1398"/>
      <c r="FN120" s="1398"/>
      <c r="FO120" s="1398"/>
      <c r="FP120" s="1398"/>
      <c r="FQ120" s="1398"/>
      <c r="FR120" s="1398"/>
    </row>
    <row r="121" spans="1:174" s="1982" customFormat="1" ht="11.25" customHeight="1" x14ac:dyDescent="0.2">
      <c r="A121" s="1907"/>
      <c r="B121" s="2064"/>
      <c r="C121" s="1322"/>
      <c r="D121" s="1927"/>
      <c r="E121" s="1928"/>
      <c r="F121" s="1927"/>
      <c r="G121" s="1929"/>
      <c r="H121" s="1930"/>
      <c r="I121" s="1929"/>
      <c r="J121" s="1930"/>
      <c r="K121" s="1928"/>
      <c r="L121" s="1335"/>
      <c r="M121" s="1909"/>
      <c r="N121" s="1336"/>
      <c r="O121" s="1910"/>
      <c r="P121" s="1928"/>
      <c r="Q121" s="1332"/>
      <c r="R121" s="1931"/>
      <c r="S121" s="1912"/>
      <c r="T121" s="1932"/>
      <c r="U121" s="1933"/>
      <c r="V121" s="1913"/>
      <c r="W121" s="1914"/>
      <c r="X121" s="1913"/>
      <c r="Y121" s="1340"/>
      <c r="Z121" s="1340"/>
      <c r="AA121" s="1909"/>
      <c r="AB121" s="1934"/>
      <c r="AC121" s="1935"/>
      <c r="AD121" s="1936"/>
      <c r="AE121" s="1937"/>
      <c r="AF121" s="1938"/>
      <c r="AG121" s="1938"/>
      <c r="AH121" s="1347"/>
      <c r="AI121" s="1348"/>
      <c r="AJ121" s="1349"/>
      <c r="AK121" s="1348"/>
      <c r="AL121" s="1350"/>
      <c r="AM121" s="1368"/>
      <c r="AN121" s="1939"/>
      <c r="AO121" s="1940"/>
      <c r="AP121" s="1941"/>
      <c r="AQ121" s="1942"/>
      <c r="AR121" s="1335"/>
      <c r="AS121" s="1943"/>
      <c r="AT121" s="1944"/>
      <c r="AU121" s="1325"/>
      <c r="AV121" s="1946"/>
      <c r="AW121" s="1945"/>
      <c r="AX121" s="1956"/>
      <c r="AY121" s="1976"/>
      <c r="AZ121" s="1947"/>
      <c r="BA121" s="2069"/>
      <c r="BB121" s="1948"/>
      <c r="BC121" s="1918"/>
      <c r="BD121" s="1919"/>
      <c r="BE121" s="1919"/>
      <c r="BF121" s="1949"/>
      <c r="BG121" s="1950"/>
      <c r="BH121" s="1951"/>
      <c r="BI121" s="1921"/>
      <c r="BJ121" s="1367"/>
      <c r="BK121" s="1922"/>
      <c r="BL121" s="1367"/>
      <c r="BM121" s="1923"/>
      <c r="BN121" s="1368"/>
      <c r="BO121" s="1952"/>
      <c r="BP121" s="1953"/>
      <c r="BQ121" s="1954"/>
      <c r="BR121" s="1366"/>
      <c r="BS121" s="1945"/>
      <c r="BT121" s="1955"/>
      <c r="BU121" s="1945"/>
      <c r="BV121" s="1956"/>
      <c r="BW121" s="1957"/>
      <c r="BX121" s="1958"/>
      <c r="BY121" s="1400"/>
      <c r="BZ121" s="1949"/>
      <c r="CA121" s="1375"/>
      <c r="CB121" s="1959"/>
      <c r="CC121" s="1960"/>
      <c r="CD121" s="1909"/>
      <c r="CE121" s="1927"/>
      <c r="CF121" s="1927"/>
      <c r="CG121" s="1961"/>
      <c r="CH121" s="1927"/>
      <c r="CI121" s="1913"/>
      <c r="CJ121" s="1927"/>
      <c r="CK121" s="1962"/>
      <c r="CL121" s="1326"/>
      <c r="CM121" s="1963"/>
      <c r="CN121" s="1326"/>
      <c r="CO121" s="1964"/>
      <c r="CP121" s="1962"/>
      <c r="CQ121" s="1326"/>
      <c r="CR121" s="1963"/>
      <c r="CS121" s="1326"/>
      <c r="CT121" s="1964"/>
      <c r="CU121" s="1965"/>
      <c r="CV121" s="1966"/>
      <c r="CW121" s="1339"/>
      <c r="CX121" s="1967"/>
      <c r="CY121" s="1339"/>
      <c r="CZ121" s="1967"/>
      <c r="DA121" s="1339"/>
      <c r="DB121" s="1967"/>
      <c r="DC121" s="1968"/>
      <c r="DD121" s="1969"/>
      <c r="DE121" s="2070"/>
      <c r="DF121" s="1909"/>
      <c r="DG121" s="1909"/>
      <c r="DH121" s="1909"/>
      <c r="DI121" s="1909"/>
      <c r="DJ121" s="1909"/>
      <c r="DK121" s="1909"/>
      <c r="DL121" s="1949"/>
      <c r="DM121" s="1326"/>
      <c r="DN121" s="1970"/>
      <c r="DO121" s="1971"/>
      <c r="DP121" s="1972"/>
      <c r="DQ121" s="1970"/>
      <c r="DR121" s="1970"/>
      <c r="DS121" s="2071"/>
      <c r="DT121" s="1928"/>
      <c r="DU121" s="1975"/>
      <c r="DV121" s="1976"/>
      <c r="DW121" s="1977"/>
      <c r="DX121" s="1912"/>
      <c r="DY121" s="1977"/>
      <c r="DZ121" s="2072"/>
      <c r="EA121" s="1946"/>
      <c r="EB121" s="2073"/>
      <c r="EC121" s="1946"/>
      <c r="ED121" s="1978"/>
      <c r="EE121" s="1946"/>
      <c r="EF121" s="1979"/>
      <c r="EG121" s="2072"/>
      <c r="EH121" s="1946"/>
      <c r="EI121" s="2073"/>
      <c r="EJ121" s="1946"/>
      <c r="EK121" s="1978"/>
      <c r="EL121" s="1927"/>
      <c r="EM121" s="1962"/>
      <c r="EN121" s="1980"/>
      <c r="EO121" s="1976"/>
      <c r="EP121" s="1926"/>
      <c r="EQ121" s="1926"/>
      <c r="ER121" s="1926"/>
      <c r="ES121" s="1926"/>
      <c r="ET121" s="1926"/>
      <c r="EU121" s="1926"/>
      <c r="EV121" s="1926"/>
      <c r="EW121" s="1926"/>
      <c r="EX121" s="1926"/>
      <c r="EY121" s="1926"/>
      <c r="EZ121" s="1926"/>
      <c r="FA121" s="1926"/>
      <c r="FB121" s="1926"/>
      <c r="FC121" s="1926"/>
      <c r="FD121" s="1926"/>
      <c r="FE121" s="1926"/>
      <c r="FF121" s="1926"/>
      <c r="FG121" s="1926"/>
      <c r="FH121" s="1926"/>
      <c r="FI121" s="1926"/>
      <c r="FJ121" s="1926"/>
      <c r="FK121" s="1926"/>
      <c r="FL121" s="1926"/>
      <c r="FM121" s="1926"/>
      <c r="FN121" s="2074"/>
      <c r="FO121" s="2074"/>
      <c r="FP121" s="2074"/>
      <c r="FQ121" s="2074"/>
      <c r="FR121" s="2074"/>
    </row>
    <row r="122" spans="1:174" s="1398" customFormat="1" ht="11.25" customHeight="1" x14ac:dyDescent="0.2">
      <c r="A122" s="1907"/>
      <c r="B122" s="1332"/>
      <c r="C122" s="1322"/>
      <c r="D122" s="1322"/>
      <c r="E122" s="1333"/>
      <c r="F122" s="1322"/>
      <c r="G122" s="1321"/>
      <c r="H122" s="1908"/>
      <c r="I122" s="1321"/>
      <c r="J122" s="1908"/>
      <c r="K122" s="1333"/>
      <c r="L122" s="1335"/>
      <c r="M122" s="1909"/>
      <c r="N122" s="1336"/>
      <c r="O122" s="1910"/>
      <c r="P122" s="1333"/>
      <c r="Q122" s="1332"/>
      <c r="R122" s="1911"/>
      <c r="S122" s="1912"/>
      <c r="T122" s="1337"/>
      <c r="U122" s="1338"/>
      <c r="V122" s="1913"/>
      <c r="W122" s="1914"/>
      <c r="X122" s="1915"/>
      <c r="Y122" s="1340"/>
      <c r="Z122" s="1340"/>
      <c r="AA122" s="1341"/>
      <c r="AB122" s="2065"/>
      <c r="AC122" s="1343"/>
      <c r="AD122" s="1344"/>
      <c r="AE122" s="1345"/>
      <c r="AF122" s="1346"/>
      <c r="AG122" s="1346"/>
      <c r="AH122" s="1347"/>
      <c r="AI122" s="1348"/>
      <c r="AJ122" s="1349"/>
      <c r="AK122" s="1348"/>
      <c r="AL122" s="1350"/>
      <c r="AM122" s="1351"/>
      <c r="AN122" s="1352"/>
      <c r="AO122" s="1353"/>
      <c r="AP122" s="1354"/>
      <c r="AQ122" s="1355"/>
      <c r="AR122" s="1356"/>
      <c r="AS122" s="1357"/>
      <c r="AT122" s="1358"/>
      <c r="AU122" s="1359"/>
      <c r="AV122" s="1360"/>
      <c r="AW122" s="1359"/>
      <c r="AX122" s="1334"/>
      <c r="AY122" s="1323"/>
      <c r="AZ122" s="1361"/>
      <c r="BA122" s="1362"/>
      <c r="BB122" s="1363"/>
      <c r="BC122" s="1918"/>
      <c r="BD122" s="1919"/>
      <c r="BE122" s="1919"/>
      <c r="BF122" s="1364"/>
      <c r="BG122" s="1365"/>
      <c r="BH122" s="1920"/>
      <c r="BI122" s="1921"/>
      <c r="BJ122" s="1367"/>
      <c r="BK122" s="1922"/>
      <c r="BL122" s="1367"/>
      <c r="BM122" s="1923"/>
      <c r="BN122" s="1351"/>
      <c r="BO122" s="1369"/>
      <c r="BP122" s="1370"/>
      <c r="BQ122" s="1371"/>
      <c r="BR122" s="1366"/>
      <c r="BS122" s="1359"/>
      <c r="BT122" s="1924"/>
      <c r="BU122" s="1359"/>
      <c r="BV122" s="1334"/>
      <c r="BW122" s="1373"/>
      <c r="BX122" s="1374"/>
      <c r="BY122" s="1400"/>
      <c r="BZ122" s="1364"/>
      <c r="CA122" s="1375"/>
      <c r="CB122" s="1376"/>
      <c r="CC122" s="1377"/>
      <c r="CD122" s="1341"/>
      <c r="CE122" s="1322"/>
      <c r="CF122" s="1322"/>
      <c r="CG122" s="1401"/>
      <c r="CH122" s="1322"/>
      <c r="CI122" s="1925"/>
      <c r="CJ122" s="1322"/>
      <c r="CK122" s="1379"/>
      <c r="CL122" s="1380"/>
      <c r="CM122" s="1381"/>
      <c r="CN122" s="1380"/>
      <c r="CO122" s="1382"/>
      <c r="CP122" s="1379"/>
      <c r="CQ122" s="1380"/>
      <c r="CR122" s="1381"/>
      <c r="CS122" s="1380"/>
      <c r="CT122" s="1382"/>
      <c r="CU122" s="1383"/>
      <c r="CV122" s="1384"/>
      <c r="CW122" s="1385"/>
      <c r="CX122" s="1386"/>
      <c r="CY122" s="1385"/>
      <c r="CZ122" s="1386"/>
      <c r="DA122" s="1385"/>
      <c r="DB122" s="1386"/>
      <c r="DC122" s="1387"/>
      <c r="DD122" s="1388"/>
      <c r="DE122" s="2075"/>
      <c r="DF122" s="1341"/>
      <c r="DG122" s="1341"/>
      <c r="DH122" s="1341"/>
      <c r="DI122" s="1341"/>
      <c r="DJ122" s="1341"/>
      <c r="DK122" s="1341"/>
      <c r="DL122" s="1364"/>
      <c r="DM122" s="1380"/>
      <c r="DN122" s="1389"/>
      <c r="DO122" s="1987"/>
      <c r="DP122" s="1390"/>
      <c r="DQ122" s="1389"/>
      <c r="DR122" s="1389"/>
      <c r="DS122" s="2076"/>
      <c r="DT122" s="1333"/>
      <c r="DU122" s="1393"/>
      <c r="DV122" s="1323"/>
      <c r="DW122" s="1394"/>
      <c r="DX122" s="1912"/>
      <c r="DY122" s="1394"/>
      <c r="DZ122" s="2077"/>
      <c r="EA122" s="1360"/>
      <c r="EB122" s="2078"/>
      <c r="EC122" s="1360"/>
      <c r="ED122" s="1395"/>
      <c r="EE122" s="1360"/>
      <c r="EF122" s="1396"/>
      <c r="EG122" s="2077"/>
      <c r="EH122" s="1360"/>
      <c r="EI122" s="2078"/>
      <c r="EJ122" s="1360"/>
      <c r="EK122" s="1395"/>
      <c r="EL122" s="1322"/>
      <c r="EM122" s="1379"/>
      <c r="EN122" s="1397"/>
      <c r="EO122" s="1323"/>
    </row>
    <row r="123" spans="1:174" s="1398" customFormat="1" ht="11.25" customHeight="1" x14ac:dyDescent="0.2">
      <c r="A123" s="1907"/>
      <c r="B123" s="2064"/>
      <c r="C123" s="1322"/>
      <c r="D123" s="1322"/>
      <c r="E123" s="1333"/>
      <c r="F123" s="1322"/>
      <c r="G123" s="1321"/>
      <c r="H123" s="1908"/>
      <c r="I123" s="1321"/>
      <c r="J123" s="1908"/>
      <c r="K123" s="1333"/>
      <c r="L123" s="1335"/>
      <c r="M123" s="1909"/>
      <c r="N123" s="1336"/>
      <c r="O123" s="1910"/>
      <c r="P123" s="1333"/>
      <c r="Q123" s="1332"/>
      <c r="R123" s="1911"/>
      <c r="S123" s="1912"/>
      <c r="T123" s="1337"/>
      <c r="U123" s="1338"/>
      <c r="V123" s="1913"/>
      <c r="W123" s="1914"/>
      <c r="X123" s="1915"/>
      <c r="Y123" s="1340"/>
      <c r="Z123" s="1340"/>
      <c r="AA123" s="1341"/>
      <c r="AB123" s="1916"/>
      <c r="AC123" s="1343"/>
      <c r="AD123" s="1344"/>
      <c r="AE123" s="1345"/>
      <c r="AF123" s="1346"/>
      <c r="AG123" s="1346"/>
      <c r="AH123" s="1347"/>
      <c r="AI123" s="1348"/>
      <c r="AJ123" s="1349"/>
      <c r="AK123" s="1348"/>
      <c r="AL123" s="1350"/>
      <c r="AM123" s="1351"/>
      <c r="AN123" s="1352"/>
      <c r="AO123" s="1353"/>
      <c r="AP123" s="1354"/>
      <c r="AQ123" s="1355"/>
      <c r="AR123" s="1356"/>
      <c r="AS123" s="1357"/>
      <c r="AT123" s="1358"/>
      <c r="AU123" s="1372"/>
      <c r="AV123" s="1360"/>
      <c r="AW123" s="1359"/>
      <c r="AX123" s="2029"/>
      <c r="AY123" s="1323"/>
      <c r="AZ123" s="1361"/>
      <c r="BA123" s="1362"/>
      <c r="BB123" s="1363"/>
      <c r="BC123" s="1918"/>
      <c r="BD123" s="1919"/>
      <c r="BE123" s="1919"/>
      <c r="BF123" s="1364"/>
      <c r="BG123" s="1365"/>
      <c r="BH123" s="1920"/>
      <c r="BI123" s="1921"/>
      <c r="BJ123" s="1367"/>
      <c r="BK123" s="1922"/>
      <c r="BL123" s="1367"/>
      <c r="BM123" s="1923"/>
      <c r="BN123" s="1351"/>
      <c r="BO123" s="1369"/>
      <c r="BP123" s="1370"/>
      <c r="BQ123" s="1371"/>
      <c r="BR123" s="1366"/>
      <c r="BS123" s="1359"/>
      <c r="BT123" s="1924"/>
      <c r="BU123" s="1359"/>
      <c r="BV123" s="1334"/>
      <c r="BW123" s="1373"/>
      <c r="BX123" s="1374"/>
      <c r="BY123" s="1400"/>
      <c r="BZ123" s="1364"/>
      <c r="CA123" s="1375"/>
      <c r="CB123" s="1376"/>
      <c r="CC123" s="1377"/>
      <c r="CD123" s="1341"/>
      <c r="CE123" s="1322"/>
      <c r="CF123" s="1322"/>
      <c r="CG123" s="1401"/>
      <c r="CH123" s="1322"/>
      <c r="CI123" s="1925"/>
      <c r="CJ123" s="1322"/>
      <c r="CK123" s="1379"/>
      <c r="CL123" s="1380"/>
      <c r="CM123" s="1381"/>
      <c r="CN123" s="1380"/>
      <c r="CO123" s="1382"/>
      <c r="CP123" s="1379"/>
      <c r="CQ123" s="1380"/>
      <c r="CR123" s="1381"/>
      <c r="CS123" s="1380"/>
      <c r="CT123" s="1382"/>
      <c r="CU123" s="1383"/>
      <c r="CV123" s="1384"/>
      <c r="CW123" s="1385"/>
      <c r="CX123" s="1386"/>
      <c r="CY123" s="1385"/>
      <c r="CZ123" s="1386"/>
      <c r="DA123" s="1385"/>
      <c r="DB123" s="1386"/>
      <c r="DC123" s="1387"/>
      <c r="DD123" s="1388"/>
      <c r="DE123" s="1388"/>
      <c r="DF123" s="1341"/>
      <c r="DG123" s="1341"/>
      <c r="DH123" s="1341"/>
      <c r="DI123" s="1341"/>
      <c r="DJ123" s="1341"/>
      <c r="DK123" s="1341"/>
      <c r="DL123" s="1364"/>
      <c r="DM123" s="1380"/>
      <c r="DN123" s="1389"/>
      <c r="DO123" s="1987"/>
      <c r="DP123" s="1390"/>
      <c r="DQ123" s="1389"/>
      <c r="DR123" s="1382"/>
      <c r="DS123" s="1391"/>
      <c r="DT123" s="1392"/>
      <c r="DU123" s="1393"/>
      <c r="DV123" s="1323"/>
      <c r="DW123" s="1394"/>
      <c r="DX123" s="1912"/>
      <c r="DY123" s="1394"/>
      <c r="DZ123" s="2079"/>
      <c r="EA123" s="1360"/>
      <c r="EB123" s="2078"/>
      <c r="EC123" s="1360"/>
      <c r="ED123" s="1395"/>
      <c r="EE123" s="1360"/>
      <c r="EF123" s="1396"/>
      <c r="EG123" s="2079"/>
      <c r="EH123" s="1360"/>
      <c r="EI123" s="2078"/>
      <c r="EJ123" s="1360"/>
      <c r="EK123" s="1395"/>
      <c r="EL123" s="1322"/>
      <c r="EM123" s="1379"/>
      <c r="EN123" s="1397"/>
      <c r="EO123" s="1323"/>
      <c r="FM123" s="1926"/>
    </row>
    <row r="124" spans="1:174" s="1982" customFormat="1" ht="11.25" customHeight="1" x14ac:dyDescent="0.2">
      <c r="A124" s="1907"/>
      <c r="B124" s="1332"/>
      <c r="C124" s="1322"/>
      <c r="D124" s="1322"/>
      <c r="E124" s="1333"/>
      <c r="F124" s="1322"/>
      <c r="G124" s="1321"/>
      <c r="H124" s="1908"/>
      <c r="I124" s="1321"/>
      <c r="J124" s="1908"/>
      <c r="K124" s="1333"/>
      <c r="L124" s="1335"/>
      <c r="M124" s="1909"/>
      <c r="N124" s="1336"/>
      <c r="O124" s="1910"/>
      <c r="P124" s="1333"/>
      <c r="Q124" s="1332"/>
      <c r="R124" s="1911"/>
      <c r="S124" s="1912"/>
      <c r="T124" s="1337"/>
      <c r="U124" s="1338"/>
      <c r="V124" s="1913"/>
      <c r="W124" s="1914"/>
      <c r="X124" s="1915"/>
      <c r="Y124" s="1340"/>
      <c r="Z124" s="1340"/>
      <c r="AA124" s="1341"/>
      <c r="AB124" s="1916"/>
      <c r="AC124" s="1343"/>
      <c r="AD124" s="1344"/>
      <c r="AE124" s="1345"/>
      <c r="AF124" s="1346"/>
      <c r="AG124" s="1346"/>
      <c r="AH124" s="1347"/>
      <c r="AI124" s="1348"/>
      <c r="AJ124" s="1349"/>
      <c r="AK124" s="1348"/>
      <c r="AL124" s="1350"/>
      <c r="AM124" s="1351"/>
      <c r="AN124" s="1352"/>
      <c r="AO124" s="1353"/>
      <c r="AP124" s="1354"/>
      <c r="AQ124" s="1355"/>
      <c r="AR124" s="1356"/>
      <c r="AS124" s="1357"/>
      <c r="AT124" s="1358"/>
      <c r="AU124" s="1359"/>
      <c r="AV124" s="1360"/>
      <c r="AW124" s="2080"/>
      <c r="AX124" s="1334"/>
      <c r="AY124" s="1323"/>
      <c r="AZ124" s="2081"/>
      <c r="BA124" s="1362"/>
      <c r="BB124" s="1363"/>
      <c r="BC124" s="1918"/>
      <c r="BD124" s="1919"/>
      <c r="BE124" s="1919"/>
      <c r="BF124" s="1364"/>
      <c r="BG124" s="1365"/>
      <c r="BH124" s="1920"/>
      <c r="BI124" s="1921"/>
      <c r="BJ124" s="1367"/>
      <c r="BK124" s="1922"/>
      <c r="BL124" s="1367"/>
      <c r="BM124" s="1923"/>
      <c r="BN124" s="1351"/>
      <c r="BO124" s="1369"/>
      <c r="BP124" s="1370"/>
      <c r="BQ124" s="1371"/>
      <c r="BR124" s="1366"/>
      <c r="BS124" s="1359"/>
      <c r="BT124" s="1924"/>
      <c r="BU124" s="1359"/>
      <c r="BV124" s="1334"/>
      <c r="BW124" s="1373"/>
      <c r="BX124" s="1374"/>
      <c r="BY124" s="1400"/>
      <c r="BZ124" s="1364"/>
      <c r="CA124" s="1375"/>
      <c r="CB124" s="1376"/>
      <c r="CC124" s="1377"/>
      <c r="CD124" s="1341"/>
      <c r="CE124" s="1322"/>
      <c r="CF124" s="1322"/>
      <c r="CG124" s="1401"/>
      <c r="CH124" s="2082"/>
      <c r="CI124" s="1925"/>
      <c r="CJ124" s="1322"/>
      <c r="CK124" s="1379"/>
      <c r="CL124" s="1380"/>
      <c r="CM124" s="1381"/>
      <c r="CN124" s="1380"/>
      <c r="CO124" s="1382"/>
      <c r="CP124" s="1379"/>
      <c r="CQ124" s="1380"/>
      <c r="CR124" s="1389"/>
      <c r="CS124" s="1380"/>
      <c r="CT124" s="1382"/>
      <c r="CU124" s="1383"/>
      <c r="CV124" s="1384"/>
      <c r="CW124" s="1385"/>
      <c r="CX124" s="1386"/>
      <c r="CY124" s="1385"/>
      <c r="CZ124" s="1386"/>
      <c r="DA124" s="1385"/>
      <c r="DB124" s="1386"/>
      <c r="DC124" s="1387"/>
      <c r="DD124" s="1388"/>
      <c r="DE124" s="1388"/>
      <c r="DF124" s="1341"/>
      <c r="DG124" s="1341"/>
      <c r="DH124" s="1341"/>
      <c r="DI124" s="1341"/>
      <c r="DJ124" s="1341"/>
      <c r="DK124" s="1341"/>
      <c r="DL124" s="1364"/>
      <c r="DM124" s="2083"/>
      <c r="DN124" s="2084"/>
      <c r="DO124" s="2085"/>
      <c r="DP124" s="2086"/>
      <c r="DQ124" s="2087"/>
      <c r="DR124" s="2084"/>
      <c r="DS124" s="2088"/>
      <c r="DT124" s="2089"/>
      <c r="DU124" s="1393"/>
      <c r="DV124" s="1323"/>
      <c r="DW124" s="1394"/>
      <c r="DX124" s="1912"/>
      <c r="DY124" s="1394"/>
      <c r="DZ124" s="2077"/>
      <c r="EA124" s="1360"/>
      <c r="EB124" s="2090"/>
      <c r="EC124" s="1360"/>
      <c r="ED124" s="1395"/>
      <c r="EE124" s="1360"/>
      <c r="EF124" s="1396"/>
      <c r="EG124" s="1358"/>
      <c r="EH124" s="1360"/>
      <c r="EI124" s="2090"/>
      <c r="EJ124" s="1360"/>
      <c r="EK124" s="1395"/>
      <c r="EL124" s="1322"/>
      <c r="EM124" s="1379"/>
      <c r="EN124" s="1397"/>
      <c r="EO124" s="1323"/>
      <c r="EP124" s="1398"/>
      <c r="EQ124" s="1398"/>
      <c r="ER124" s="1398"/>
      <c r="ES124" s="1398"/>
      <c r="ET124" s="1398"/>
      <c r="EU124" s="1398"/>
      <c r="EV124" s="1398"/>
      <c r="EW124" s="1398"/>
      <c r="EX124" s="1398"/>
      <c r="EY124" s="1398"/>
      <c r="EZ124" s="1398"/>
      <c r="FA124" s="1398"/>
      <c r="FB124" s="1398"/>
      <c r="FC124" s="1398"/>
      <c r="FD124" s="1398"/>
      <c r="FE124" s="1398"/>
      <c r="FF124" s="1398"/>
      <c r="FG124" s="1398"/>
      <c r="FH124" s="1398"/>
      <c r="FI124" s="1398"/>
      <c r="FJ124" s="1398"/>
      <c r="FK124" s="1398"/>
      <c r="FL124" s="1398"/>
      <c r="FM124" s="1398"/>
      <c r="FN124" s="2091"/>
      <c r="FO124" s="2091"/>
      <c r="FP124" s="2091"/>
      <c r="FQ124" s="2091"/>
      <c r="FR124" s="2091"/>
    </row>
    <row r="125" spans="1:174" s="1981" customFormat="1" ht="11.25" customHeight="1" x14ac:dyDescent="0.2">
      <c r="A125" s="1907"/>
      <c r="B125" s="2064"/>
      <c r="C125" s="1927"/>
      <c r="D125" s="1927"/>
      <c r="E125" s="1928"/>
      <c r="F125" s="1927"/>
      <c r="G125" s="1929"/>
      <c r="H125" s="1930"/>
      <c r="I125" s="1929"/>
      <c r="J125" s="1930"/>
      <c r="K125" s="1928"/>
      <c r="L125" s="1333"/>
      <c r="M125" s="1333"/>
      <c r="N125" s="1333"/>
      <c r="O125" s="1333"/>
      <c r="P125" s="1333"/>
      <c r="Q125" s="1333"/>
      <c r="R125" s="1333"/>
      <c r="S125" s="1333"/>
      <c r="T125" s="1932"/>
      <c r="U125" s="1933"/>
      <c r="V125" s="1913"/>
      <c r="W125" s="1914"/>
      <c r="X125" s="1913"/>
      <c r="Y125" s="1340"/>
      <c r="Z125" s="1340"/>
      <c r="AA125" s="1909"/>
      <c r="AB125" s="1934"/>
      <c r="AC125" s="1935"/>
      <c r="AD125" s="1936"/>
      <c r="AE125" s="1937"/>
      <c r="AF125" s="1938"/>
      <c r="AG125" s="2092"/>
      <c r="AH125" s="1347"/>
      <c r="AI125" s="2093"/>
      <c r="AJ125" s="1349"/>
      <c r="AK125" s="1348"/>
      <c r="AL125" s="1350"/>
      <c r="AM125" s="1368"/>
      <c r="AN125" s="1939"/>
      <c r="AO125" s="2094"/>
      <c r="AP125" s="1324"/>
      <c r="AQ125" s="1942"/>
      <c r="AR125" s="1335"/>
      <c r="AS125" s="1943"/>
      <c r="AT125" s="1944"/>
      <c r="AU125" s="2095"/>
      <c r="AV125" s="1946"/>
      <c r="AW125" s="1945"/>
      <c r="AX125" s="2096"/>
      <c r="AY125" s="1323"/>
      <c r="AZ125" s="1947"/>
      <c r="BA125" s="1362"/>
      <c r="BB125" s="1948"/>
      <c r="BC125" s="1918"/>
      <c r="BD125" s="1919"/>
      <c r="BE125" s="1919"/>
      <c r="BF125" s="1949"/>
      <c r="BG125" s="2097"/>
      <c r="BH125" s="2098"/>
      <c r="BI125" s="1921"/>
      <c r="BJ125" s="1367"/>
      <c r="BK125" s="1922"/>
      <c r="BL125" s="1367"/>
      <c r="BM125" s="1923"/>
      <c r="BN125" s="1368"/>
      <c r="BO125" s="1952"/>
      <c r="BP125" s="2099"/>
      <c r="BQ125" s="2100"/>
      <c r="BR125" s="1366"/>
      <c r="BS125" s="1359"/>
      <c r="BT125" s="1955"/>
      <c r="BU125" s="2101"/>
      <c r="BV125" s="1956"/>
      <c r="BW125" s="1957"/>
      <c r="BX125" s="1958"/>
      <c r="BY125" s="1400"/>
      <c r="BZ125" s="1949"/>
      <c r="CA125" s="1375"/>
      <c r="CB125" s="1959"/>
      <c r="CC125" s="1960"/>
      <c r="CD125" s="1909"/>
      <c r="CE125" s="1927"/>
      <c r="CF125" s="1927"/>
      <c r="CG125" s="1961"/>
      <c r="CH125" s="1927"/>
      <c r="CI125" s="1913"/>
      <c r="CJ125" s="1927"/>
      <c r="CK125" s="1962"/>
      <c r="CL125" s="1326"/>
      <c r="CM125" s="1963"/>
      <c r="CN125" s="1326"/>
      <c r="CO125" s="1964"/>
      <c r="CP125" s="1962"/>
      <c r="CQ125" s="1326"/>
      <c r="CR125" s="1963"/>
      <c r="CS125" s="1326"/>
      <c r="CT125" s="1964"/>
      <c r="CU125" s="1965"/>
      <c r="CV125" s="1966"/>
      <c r="CW125" s="1339"/>
      <c r="CX125" s="1967"/>
      <c r="CY125" s="1339"/>
      <c r="CZ125" s="1967"/>
      <c r="DA125" s="1339"/>
      <c r="DB125" s="1967"/>
      <c r="DC125" s="1968"/>
      <c r="DD125" s="1969"/>
      <c r="DE125" s="1969"/>
      <c r="DF125" s="1909"/>
      <c r="DG125" s="1909"/>
      <c r="DH125" s="1909"/>
      <c r="DI125" s="1909"/>
      <c r="DJ125" s="1909"/>
      <c r="DK125" s="1909"/>
      <c r="DL125" s="1949"/>
      <c r="DM125" s="1326"/>
      <c r="DN125" s="1970"/>
      <c r="DO125" s="1927"/>
      <c r="DP125" s="1972"/>
      <c r="DQ125" s="1970"/>
      <c r="DR125" s="1964"/>
      <c r="DS125" s="1973"/>
      <c r="DT125" s="1974"/>
      <c r="DU125" s="1975"/>
      <c r="DV125" s="1976"/>
      <c r="DW125" s="1977"/>
      <c r="DX125" s="1912"/>
      <c r="DY125" s="1977"/>
      <c r="DZ125" s="1944"/>
      <c r="EA125" s="1946"/>
      <c r="EB125" s="2073"/>
      <c r="EC125" s="1946"/>
      <c r="ED125" s="1978"/>
      <c r="EE125" s="1946"/>
      <c r="EF125" s="1979"/>
      <c r="EG125" s="1944"/>
      <c r="EH125" s="1946"/>
      <c r="EI125" s="2073"/>
      <c r="EJ125" s="1946"/>
      <c r="EK125" s="1978"/>
      <c r="EL125" s="1927"/>
      <c r="EM125" s="1962"/>
      <c r="EN125" s="1980"/>
      <c r="EO125" s="1976"/>
      <c r="EP125" s="1926"/>
      <c r="EQ125" s="1926"/>
      <c r="ER125" s="1926"/>
      <c r="ES125" s="1926"/>
      <c r="ET125" s="1926"/>
      <c r="EU125" s="1926"/>
      <c r="EV125" s="1926"/>
      <c r="EW125" s="1926"/>
      <c r="EX125" s="1926"/>
      <c r="EY125" s="1926"/>
      <c r="EZ125" s="1926"/>
      <c r="FA125" s="1926"/>
      <c r="FB125" s="1926"/>
      <c r="FC125" s="1926"/>
      <c r="FD125" s="1926"/>
      <c r="FE125" s="1926"/>
      <c r="FF125" s="1926"/>
      <c r="FG125" s="1926"/>
      <c r="FH125" s="1926"/>
      <c r="FI125" s="1926"/>
      <c r="FJ125" s="1926"/>
      <c r="FK125" s="1926"/>
      <c r="FL125" s="1926"/>
      <c r="FM125" s="1926"/>
      <c r="FN125" s="2102"/>
      <c r="FO125" s="2102"/>
      <c r="FP125" s="2102"/>
      <c r="FQ125" s="2102"/>
      <c r="FR125" s="2102"/>
    </row>
    <row r="126" spans="1:174" s="1398" customFormat="1" ht="11.25" customHeight="1" x14ac:dyDescent="0.2">
      <c r="A126" s="1907"/>
      <c r="B126" s="1332"/>
      <c r="C126" s="1322"/>
      <c r="D126" s="1322"/>
      <c r="E126" s="1333"/>
      <c r="F126" s="1322"/>
      <c r="G126" s="1321"/>
      <c r="H126" s="1908"/>
      <c r="I126" s="1321"/>
      <c r="J126" s="1908"/>
      <c r="K126" s="1333"/>
      <c r="L126" s="1333"/>
      <c r="M126" s="1333"/>
      <c r="N126" s="1333"/>
      <c r="O126" s="1333"/>
      <c r="P126" s="1333"/>
      <c r="Q126" s="1333"/>
      <c r="R126" s="1333"/>
      <c r="S126" s="1333"/>
      <c r="T126" s="1337"/>
      <c r="U126" s="1338"/>
      <c r="V126" s="1913"/>
      <c r="W126" s="1914"/>
      <c r="X126" s="1915"/>
      <c r="Y126" s="1340"/>
      <c r="Z126" s="1340"/>
      <c r="AA126" s="1341"/>
      <c r="AB126" s="1916"/>
      <c r="AC126" s="1343"/>
      <c r="AD126" s="1344"/>
      <c r="AE126" s="1345"/>
      <c r="AF126" s="1346"/>
      <c r="AG126" s="1349"/>
      <c r="AH126" s="1347"/>
      <c r="AI126" s="1348"/>
      <c r="AJ126" s="1349"/>
      <c r="AK126" s="1348"/>
      <c r="AL126" s="1350"/>
      <c r="AM126" s="1351"/>
      <c r="AN126" s="1352"/>
      <c r="AO126" s="2103"/>
      <c r="AP126" s="2104"/>
      <c r="AQ126" s="1355"/>
      <c r="AR126" s="1356"/>
      <c r="AS126" s="1357"/>
      <c r="AT126" s="1358"/>
      <c r="AU126" s="2105"/>
      <c r="AV126" s="1360"/>
      <c r="AW126" s="1359"/>
      <c r="AX126" s="2096"/>
      <c r="AY126" s="1323"/>
      <c r="AZ126" s="1917"/>
      <c r="BA126" s="1362"/>
      <c r="BB126" s="1363"/>
      <c r="BC126" s="1918"/>
      <c r="BD126" s="1919"/>
      <c r="BE126" s="1919"/>
      <c r="BF126" s="1364"/>
      <c r="BG126" s="1365"/>
      <c r="BH126" s="1920"/>
      <c r="BI126" s="1921"/>
      <c r="BJ126" s="1367"/>
      <c r="BK126" s="1922"/>
      <c r="BL126" s="1367"/>
      <c r="BM126" s="1923"/>
      <c r="BN126" s="1351"/>
      <c r="BO126" s="1369"/>
      <c r="BP126" s="1370"/>
      <c r="BQ126" s="1371"/>
      <c r="BR126" s="1366"/>
      <c r="BS126" s="1359"/>
      <c r="BT126" s="1924"/>
      <c r="BU126" s="1359"/>
      <c r="BV126" s="1334"/>
      <c r="BW126" s="1373"/>
      <c r="BX126" s="1374"/>
      <c r="BY126" s="1400"/>
      <c r="BZ126" s="1364"/>
      <c r="CA126" s="1375"/>
      <c r="CB126" s="1376"/>
      <c r="CC126" s="1377"/>
      <c r="CD126" s="1341"/>
      <c r="CE126" s="1322"/>
      <c r="CF126" s="1322"/>
      <c r="CG126" s="1401"/>
      <c r="CH126" s="1322"/>
      <c r="CI126" s="1925"/>
      <c r="CJ126" s="1322"/>
      <c r="CK126" s="1379"/>
      <c r="CL126" s="1380"/>
      <c r="CM126" s="1381"/>
      <c r="CN126" s="1380"/>
      <c r="CO126" s="1382"/>
      <c r="CP126" s="1379"/>
      <c r="CQ126" s="1380"/>
      <c r="CR126" s="1381"/>
      <c r="CS126" s="1380"/>
      <c r="CT126" s="1382"/>
      <c r="CU126" s="1383"/>
      <c r="CV126" s="1384"/>
      <c r="CW126" s="1385"/>
      <c r="CX126" s="1386"/>
      <c r="CY126" s="1385"/>
      <c r="CZ126" s="1386"/>
      <c r="DA126" s="1385"/>
      <c r="DB126" s="1386"/>
      <c r="DC126" s="1387"/>
      <c r="DD126" s="1388"/>
      <c r="DE126" s="1388"/>
      <c r="DF126" s="1341"/>
      <c r="DG126" s="1341"/>
      <c r="DH126" s="1341"/>
      <c r="DI126" s="1341"/>
      <c r="DJ126" s="2106"/>
      <c r="DK126" s="1341"/>
      <c r="DL126" s="1364"/>
      <c r="DM126" s="1380"/>
      <c r="DN126" s="1389"/>
      <c r="DO126" s="1322"/>
      <c r="DP126" s="1390"/>
      <c r="DQ126" s="1389"/>
      <c r="DR126" s="1382"/>
      <c r="DS126" s="1391"/>
      <c r="DT126" s="1392"/>
      <c r="DU126" s="1393"/>
      <c r="DV126" s="1323"/>
      <c r="DW126" s="1394"/>
      <c r="DX126" s="1912"/>
      <c r="DY126" s="1394"/>
      <c r="DZ126" s="2077"/>
      <c r="EA126" s="1360"/>
      <c r="EB126" s="2090"/>
      <c r="EC126" s="1360"/>
      <c r="ED126" s="1395"/>
      <c r="EE126" s="1360"/>
      <c r="EF126" s="1396"/>
      <c r="EG126" s="2077"/>
      <c r="EH126" s="1360"/>
      <c r="EI126" s="2090"/>
      <c r="EJ126" s="1360"/>
      <c r="EK126" s="1395"/>
      <c r="EL126" s="1322"/>
      <c r="EM126" s="1379"/>
      <c r="EN126" s="1397"/>
      <c r="EO126" s="1323"/>
      <c r="FN126" s="1926"/>
      <c r="FO126" s="1926"/>
      <c r="FP126" s="1926"/>
      <c r="FQ126" s="1926"/>
      <c r="FR126" s="1926"/>
    </row>
    <row r="127" spans="1:174" s="1398" customFormat="1" ht="11.25" customHeight="1" x14ac:dyDescent="0.2">
      <c r="A127" s="1907"/>
      <c r="B127" s="1332"/>
      <c r="C127" s="1322"/>
      <c r="D127" s="1322"/>
      <c r="E127" s="2107"/>
      <c r="F127" s="1322"/>
      <c r="G127" s="1321"/>
      <c r="H127" s="1908"/>
      <c r="I127" s="1321"/>
      <c r="J127" s="1908"/>
      <c r="K127" s="1333"/>
      <c r="L127" s="1335"/>
      <c r="M127" s="1909"/>
      <c r="N127" s="1336"/>
      <c r="O127" s="1910"/>
      <c r="P127" s="1333"/>
      <c r="Q127" s="1332"/>
      <c r="R127" s="1333"/>
      <c r="S127" s="2108"/>
      <c r="T127" s="1337"/>
      <c r="U127" s="1338"/>
      <c r="V127" s="1913"/>
      <c r="W127" s="1914"/>
      <c r="X127" s="1915"/>
      <c r="Y127" s="1340"/>
      <c r="Z127" s="1340"/>
      <c r="AA127" s="1341"/>
      <c r="AB127" s="1916"/>
      <c r="AC127" s="1343"/>
      <c r="AD127" s="1344"/>
      <c r="AE127" s="1345"/>
      <c r="AF127" s="1346"/>
      <c r="AG127" s="1346"/>
      <c r="AH127" s="1347"/>
      <c r="AI127" s="2093"/>
      <c r="AJ127" s="1349"/>
      <c r="AK127" s="1348"/>
      <c r="AL127" s="1350"/>
      <c r="AM127" s="1351"/>
      <c r="AN127" s="1352"/>
      <c r="AO127" s="2103"/>
      <c r="AP127" s="2104"/>
      <c r="AQ127" s="1355"/>
      <c r="AR127" s="1356"/>
      <c r="AS127" s="1356"/>
      <c r="AT127" s="1358"/>
      <c r="AU127" s="2109"/>
      <c r="AV127" s="1360"/>
      <c r="AW127" s="1359"/>
      <c r="AX127" s="2096"/>
      <c r="AY127" s="1323"/>
      <c r="AZ127" s="1917"/>
      <c r="BA127" s="1362"/>
      <c r="BB127" s="1363"/>
      <c r="BC127" s="1918"/>
      <c r="BD127" s="2110"/>
      <c r="BE127" s="1919"/>
      <c r="BF127" s="1364"/>
      <c r="BG127" s="1365"/>
      <c r="BH127" s="1920"/>
      <c r="BI127" s="1921"/>
      <c r="BJ127" s="1367"/>
      <c r="BK127" s="1922"/>
      <c r="BL127" s="1367"/>
      <c r="BM127" s="1923"/>
      <c r="BN127" s="1351"/>
      <c r="BO127" s="1369"/>
      <c r="BP127" s="1370"/>
      <c r="BQ127" s="1371"/>
      <c r="BR127" s="1366"/>
      <c r="BS127" s="1359"/>
      <c r="BT127" s="1924"/>
      <c r="BU127" s="1359"/>
      <c r="BV127" s="1334"/>
      <c r="BW127" s="1373"/>
      <c r="BX127" s="1374"/>
      <c r="BY127" s="1400"/>
      <c r="BZ127" s="1364"/>
      <c r="CA127" s="1375"/>
      <c r="CB127" s="1376"/>
      <c r="CC127" s="1377"/>
      <c r="CD127" s="1341"/>
      <c r="CE127" s="1322"/>
      <c r="CF127" s="1322"/>
      <c r="CG127" s="1401"/>
      <c r="CH127" s="1322"/>
      <c r="CI127" s="1322"/>
      <c r="CJ127" s="1322"/>
      <c r="CK127" s="1379"/>
      <c r="CL127" s="1380"/>
      <c r="CM127" s="1381"/>
      <c r="CN127" s="1380"/>
      <c r="CO127" s="1382"/>
      <c r="CP127" s="1379"/>
      <c r="CQ127" s="1380"/>
      <c r="CR127" s="1381"/>
      <c r="CS127" s="1380"/>
      <c r="CT127" s="1382"/>
      <c r="CU127" s="1383"/>
      <c r="CV127" s="1384"/>
      <c r="CW127" s="1385"/>
      <c r="CX127" s="1386"/>
      <c r="CY127" s="1385"/>
      <c r="CZ127" s="1386"/>
      <c r="DA127" s="1385"/>
      <c r="DB127" s="1386"/>
      <c r="DC127" s="1387"/>
      <c r="DD127" s="1388"/>
      <c r="DE127" s="1388"/>
      <c r="DF127" s="1341"/>
      <c r="DG127" s="1341"/>
      <c r="DH127" s="1341"/>
      <c r="DI127" s="1341"/>
      <c r="DJ127" s="1341"/>
      <c r="DK127" s="1341"/>
      <c r="DL127" s="1364"/>
      <c r="DM127" s="1380"/>
      <c r="DN127" s="1389"/>
      <c r="DO127" s="1987"/>
      <c r="DP127" s="1390"/>
      <c r="DQ127" s="1389"/>
      <c r="DR127" s="1389"/>
      <c r="DS127" s="2076"/>
      <c r="DT127" s="1333"/>
      <c r="DU127" s="1393"/>
      <c r="DV127" s="1323"/>
      <c r="DW127" s="1394"/>
      <c r="DX127" s="1912"/>
      <c r="DY127" s="1394"/>
      <c r="DZ127" s="2111"/>
      <c r="EA127" s="1360"/>
      <c r="EB127" s="2078"/>
      <c r="EC127" s="1360"/>
      <c r="ED127" s="1395"/>
      <c r="EE127" s="1360"/>
      <c r="EF127" s="1396"/>
      <c r="EG127" s="2111"/>
      <c r="EH127" s="1360"/>
      <c r="EI127" s="2078"/>
      <c r="EJ127" s="1360"/>
      <c r="EK127" s="1395"/>
      <c r="EL127" s="1322"/>
      <c r="EM127" s="1379"/>
      <c r="EN127" s="1397"/>
      <c r="EO127" s="1323"/>
      <c r="FN127" s="1926"/>
      <c r="FO127" s="1926"/>
      <c r="FP127" s="1926"/>
      <c r="FQ127" s="1926"/>
      <c r="FR127" s="1926"/>
    </row>
    <row r="128" spans="1:174" s="2118" customFormat="1" ht="11.25" customHeight="1" x14ac:dyDescent="0.2">
      <c r="A128" s="1907"/>
      <c r="B128" s="1332"/>
      <c r="C128" s="1322"/>
      <c r="D128" s="1927"/>
      <c r="E128" s="1928"/>
      <c r="F128" s="1927"/>
      <c r="G128" s="1929"/>
      <c r="H128" s="1930"/>
      <c r="I128" s="1929"/>
      <c r="J128" s="1930"/>
      <c r="K128" s="1928"/>
      <c r="L128" s="1335"/>
      <c r="M128" s="1909"/>
      <c r="N128" s="1336"/>
      <c r="O128" s="1910"/>
      <c r="P128" s="1928"/>
      <c r="Q128" s="1332"/>
      <c r="R128" s="1928"/>
      <c r="S128" s="2112"/>
      <c r="T128" s="1932"/>
      <c r="U128" s="1933"/>
      <c r="V128" s="1913"/>
      <c r="W128" s="1914"/>
      <c r="X128" s="1913"/>
      <c r="Y128" s="1340"/>
      <c r="Z128" s="1340"/>
      <c r="AA128" s="1909"/>
      <c r="AB128" s="2113"/>
      <c r="AC128" s="1935"/>
      <c r="AD128" s="1936"/>
      <c r="AE128" s="1937"/>
      <c r="AF128" s="1938"/>
      <c r="AG128" s="2092"/>
      <c r="AH128" s="2114"/>
      <c r="AI128" s="1348"/>
      <c r="AJ128" s="2092"/>
      <c r="AK128" s="1348"/>
      <c r="AL128" s="2115"/>
      <c r="AM128" s="1368"/>
      <c r="AN128" s="1939"/>
      <c r="AO128" s="2094"/>
      <c r="AP128" s="1324"/>
      <c r="AQ128" s="1942"/>
      <c r="AR128" s="1335"/>
      <c r="AS128" s="1943"/>
      <c r="AT128" s="1944"/>
      <c r="AU128" s="1945"/>
      <c r="AV128" s="1946"/>
      <c r="AW128" s="1945"/>
      <c r="AX128" s="2096"/>
      <c r="AY128" s="1976"/>
      <c r="AZ128" s="1947"/>
      <c r="BA128" s="2069"/>
      <c r="BB128" s="1948"/>
      <c r="BC128" s="1918"/>
      <c r="BD128" s="1919"/>
      <c r="BE128" s="1919"/>
      <c r="BF128" s="1949"/>
      <c r="BG128" s="1950"/>
      <c r="BH128" s="1951"/>
      <c r="BI128" s="1921"/>
      <c r="BJ128" s="1367"/>
      <c r="BK128" s="1922"/>
      <c r="BL128" s="1367"/>
      <c r="BM128" s="1923"/>
      <c r="BN128" s="1368"/>
      <c r="BO128" s="1952"/>
      <c r="BP128" s="1953"/>
      <c r="BQ128" s="1954"/>
      <c r="BR128" s="1366"/>
      <c r="BS128" s="1945"/>
      <c r="BT128" s="1955"/>
      <c r="BU128" s="1945"/>
      <c r="BV128" s="1956"/>
      <c r="BW128" s="1957"/>
      <c r="BX128" s="1958"/>
      <c r="BY128" s="1400"/>
      <c r="BZ128" s="1949"/>
      <c r="CA128" s="1375"/>
      <c r="CB128" s="1959"/>
      <c r="CC128" s="1960"/>
      <c r="CD128" s="1909"/>
      <c r="CE128" s="1927"/>
      <c r="CF128" s="1927"/>
      <c r="CG128" s="1961"/>
      <c r="CH128" s="1927"/>
      <c r="CI128" s="1927"/>
      <c r="CJ128" s="1927"/>
      <c r="CK128" s="1962"/>
      <c r="CL128" s="1326"/>
      <c r="CM128" s="1963"/>
      <c r="CN128" s="1326"/>
      <c r="CO128" s="1964"/>
      <c r="CP128" s="1962"/>
      <c r="CQ128" s="1326"/>
      <c r="CR128" s="1963"/>
      <c r="CS128" s="1326"/>
      <c r="CT128" s="1964"/>
      <c r="CU128" s="1965"/>
      <c r="CV128" s="1966"/>
      <c r="CW128" s="1339"/>
      <c r="CX128" s="1967"/>
      <c r="CY128" s="1339"/>
      <c r="CZ128" s="1967"/>
      <c r="DA128" s="1339"/>
      <c r="DB128" s="1967"/>
      <c r="DC128" s="1968"/>
      <c r="DD128" s="1969"/>
      <c r="DE128" s="1969"/>
      <c r="DF128" s="1909"/>
      <c r="DG128" s="1909"/>
      <c r="DH128" s="1909"/>
      <c r="DI128" s="1909"/>
      <c r="DJ128" s="2116"/>
      <c r="DK128" s="1909"/>
      <c r="DL128" s="1949"/>
      <c r="DM128" s="1326"/>
      <c r="DN128" s="1970"/>
      <c r="DO128" s="1971"/>
      <c r="DP128" s="2117"/>
      <c r="DQ128" s="1964"/>
      <c r="DR128" s="1964"/>
      <c r="DS128" s="1973"/>
      <c r="DT128" s="1974"/>
      <c r="DU128" s="1975"/>
      <c r="DV128" s="1976"/>
      <c r="DW128" s="1977"/>
      <c r="DX128" s="1912"/>
      <c r="DY128" s="1977"/>
      <c r="DZ128" s="1944"/>
      <c r="EA128" s="1946"/>
      <c r="EB128" s="1946"/>
      <c r="EC128" s="1946"/>
      <c r="ED128" s="1978"/>
      <c r="EE128" s="1946"/>
      <c r="EF128" s="1979"/>
      <c r="EG128" s="1944"/>
      <c r="EH128" s="1946"/>
      <c r="EI128" s="1946"/>
      <c r="EJ128" s="1946"/>
      <c r="EK128" s="1978"/>
      <c r="EL128" s="1927"/>
      <c r="EM128" s="1962"/>
      <c r="EN128" s="1980"/>
      <c r="EO128" s="1976"/>
      <c r="EP128" s="1926"/>
      <c r="EQ128" s="1926"/>
      <c r="ER128" s="1926"/>
      <c r="ES128" s="1926"/>
      <c r="ET128" s="1926"/>
      <c r="EU128" s="1926"/>
      <c r="EV128" s="1926"/>
      <c r="EW128" s="1926"/>
      <c r="EX128" s="1926"/>
      <c r="EY128" s="1926"/>
      <c r="EZ128" s="1926"/>
      <c r="FA128" s="1926"/>
      <c r="FB128" s="1926"/>
      <c r="FC128" s="1926"/>
      <c r="FD128" s="1926"/>
      <c r="FE128" s="1926"/>
      <c r="FF128" s="1926"/>
      <c r="FG128" s="1926"/>
      <c r="FH128" s="1926"/>
      <c r="FI128" s="1926"/>
      <c r="FJ128" s="1926"/>
      <c r="FK128" s="1926"/>
      <c r="FL128" s="1926"/>
      <c r="FM128" s="1926"/>
      <c r="FN128" s="1398"/>
      <c r="FO128" s="1398"/>
      <c r="FP128" s="1398"/>
      <c r="FQ128" s="1398"/>
      <c r="FR128" s="1398"/>
    </row>
    <row r="129" spans="1:174" s="1398" customFormat="1" ht="11.25" customHeight="1" x14ac:dyDescent="0.2">
      <c r="A129" s="1907"/>
      <c r="B129" s="1332"/>
      <c r="C129" s="1322"/>
      <c r="D129" s="1322"/>
      <c r="E129" s="1333"/>
      <c r="F129" s="1322"/>
      <c r="G129" s="1321"/>
      <c r="H129" s="1908"/>
      <c r="I129" s="1321"/>
      <c r="J129" s="1908"/>
      <c r="K129" s="1333"/>
      <c r="L129" s="1335"/>
      <c r="M129" s="1909"/>
      <c r="N129" s="1336"/>
      <c r="O129" s="1910"/>
      <c r="P129" s="1333"/>
      <c r="Q129" s="1332"/>
      <c r="R129" s="1333"/>
      <c r="S129" s="2112"/>
      <c r="T129" s="1337"/>
      <c r="U129" s="1338"/>
      <c r="V129" s="1913"/>
      <c r="W129" s="1914"/>
      <c r="X129" s="1915"/>
      <c r="Y129" s="1340"/>
      <c r="Z129" s="1340"/>
      <c r="AA129" s="1341"/>
      <c r="AB129" s="1342"/>
      <c r="AC129" s="1343"/>
      <c r="AD129" s="1344"/>
      <c r="AE129" s="1345"/>
      <c r="AF129" s="1346"/>
      <c r="AG129" s="1346"/>
      <c r="AH129" s="1347"/>
      <c r="AI129" s="1348"/>
      <c r="AJ129" s="1349"/>
      <c r="AK129" s="1348"/>
      <c r="AL129" s="2119"/>
      <c r="AM129" s="1351"/>
      <c r="AN129" s="1352"/>
      <c r="AO129" s="2103"/>
      <c r="AP129" s="2104"/>
      <c r="AQ129" s="1355"/>
      <c r="AR129" s="1356"/>
      <c r="AS129" s="1357"/>
      <c r="AT129" s="1358"/>
      <c r="AU129" s="1359"/>
      <c r="AV129" s="1360"/>
      <c r="AW129" s="1359"/>
      <c r="AX129" s="2096"/>
      <c r="AY129" s="1323"/>
      <c r="AZ129" s="1361"/>
      <c r="BA129" s="1362"/>
      <c r="BB129" s="1363"/>
      <c r="BC129" s="1918"/>
      <c r="BD129" s="1919"/>
      <c r="BE129" s="1919"/>
      <c r="BF129" s="1364"/>
      <c r="BG129" s="1365"/>
      <c r="BH129" s="1920"/>
      <c r="BI129" s="1921"/>
      <c r="BJ129" s="1367"/>
      <c r="BK129" s="1922"/>
      <c r="BL129" s="1367"/>
      <c r="BM129" s="1923"/>
      <c r="BN129" s="1351"/>
      <c r="BO129" s="1369"/>
      <c r="BP129" s="1370"/>
      <c r="BQ129" s="1371"/>
      <c r="BR129" s="1366"/>
      <c r="BS129" s="1359"/>
      <c r="BT129" s="1924"/>
      <c r="BU129" s="1359"/>
      <c r="BV129" s="1334"/>
      <c r="BW129" s="1373"/>
      <c r="BX129" s="1374"/>
      <c r="BY129" s="1400"/>
      <c r="BZ129" s="1364"/>
      <c r="CA129" s="1375"/>
      <c r="CB129" s="1376"/>
      <c r="CC129" s="1377"/>
      <c r="CD129" s="1341"/>
      <c r="CE129" s="1322"/>
      <c r="CF129" s="1322"/>
      <c r="CG129" s="1401"/>
      <c r="CH129" s="1322"/>
      <c r="CI129" s="1322"/>
      <c r="CJ129" s="1322"/>
      <c r="CK129" s="1379"/>
      <c r="CL129" s="1380"/>
      <c r="CM129" s="1381"/>
      <c r="CN129" s="1380"/>
      <c r="CO129" s="1382"/>
      <c r="CP129" s="1379"/>
      <c r="CQ129" s="1380"/>
      <c r="CR129" s="1381"/>
      <c r="CS129" s="1380"/>
      <c r="CT129" s="1382"/>
      <c r="CU129" s="1383"/>
      <c r="CV129" s="1384"/>
      <c r="CW129" s="1385"/>
      <c r="CX129" s="1386"/>
      <c r="CY129" s="1385"/>
      <c r="CZ129" s="1386"/>
      <c r="DA129" s="1385"/>
      <c r="DB129" s="1386"/>
      <c r="DC129" s="1387"/>
      <c r="DD129" s="1388"/>
      <c r="DE129" s="1388"/>
      <c r="DF129" s="1341"/>
      <c r="DG129" s="1341"/>
      <c r="DH129" s="1341"/>
      <c r="DI129" s="1341"/>
      <c r="DJ129" s="1341"/>
      <c r="DK129" s="1341"/>
      <c r="DL129" s="1364"/>
      <c r="DM129" s="1380"/>
      <c r="DN129" s="1389"/>
      <c r="DO129" s="1322"/>
      <c r="DP129" s="2067"/>
      <c r="DQ129" s="1382"/>
      <c r="DR129" s="1382"/>
      <c r="DS129" s="1391"/>
      <c r="DT129" s="1392"/>
      <c r="DU129" s="1393"/>
      <c r="DV129" s="1323"/>
      <c r="DW129" s="1394"/>
      <c r="DX129" s="1912"/>
      <c r="DY129" s="1394"/>
      <c r="DZ129" s="1358"/>
      <c r="EA129" s="1360"/>
      <c r="EB129" s="2120"/>
      <c r="EC129" s="1360"/>
      <c r="ED129" s="1395"/>
      <c r="EE129" s="1360"/>
      <c r="EF129" s="1396"/>
      <c r="EG129" s="1358"/>
      <c r="EH129" s="1360"/>
      <c r="EI129" s="2120"/>
      <c r="EJ129" s="1360"/>
      <c r="EK129" s="1395"/>
      <c r="EL129" s="1322"/>
      <c r="EM129" s="1379"/>
      <c r="EN129" s="1397"/>
      <c r="EO129" s="1323"/>
      <c r="EP129" s="2121"/>
      <c r="EQ129" s="2121"/>
      <c r="ER129" s="2121"/>
      <c r="ES129" s="2121"/>
      <c r="ET129" s="2121"/>
      <c r="EU129" s="2121"/>
      <c r="EV129" s="2121"/>
      <c r="EW129" s="2121"/>
      <c r="EX129" s="2121"/>
      <c r="EY129" s="2121"/>
      <c r="EZ129" s="2121"/>
      <c r="FA129" s="2121"/>
      <c r="FB129" s="2121"/>
      <c r="FC129" s="2121"/>
      <c r="FD129" s="2121"/>
      <c r="FE129" s="2121"/>
      <c r="FF129" s="2121"/>
      <c r="FG129" s="2121"/>
      <c r="FH129" s="2121"/>
      <c r="FI129" s="2121"/>
      <c r="FJ129" s="2121"/>
      <c r="FK129" s="2121"/>
      <c r="FL129" s="2121"/>
      <c r="FM129" s="2091"/>
    </row>
    <row r="130" spans="1:174" s="1398" customFormat="1" ht="11.25" customHeight="1" x14ac:dyDescent="0.2">
      <c r="A130" s="1907"/>
      <c r="B130" s="2064"/>
      <c r="C130" s="1988"/>
      <c r="D130" s="1988"/>
      <c r="E130" s="1989"/>
      <c r="F130" s="1988"/>
      <c r="G130" s="1990"/>
      <c r="H130" s="1991"/>
      <c r="I130" s="1990"/>
      <c r="J130" s="1991"/>
      <c r="K130" s="1992"/>
      <c r="L130" s="1993"/>
      <c r="M130" s="1994"/>
      <c r="N130" s="1995"/>
      <c r="O130" s="1996"/>
      <c r="P130" s="1992"/>
      <c r="Q130" s="1997"/>
      <c r="R130" s="1998"/>
      <c r="S130" s="1999"/>
      <c r="T130" s="2000"/>
      <c r="U130" s="2001"/>
      <c r="V130" s="2002"/>
      <c r="W130" s="2003"/>
      <c r="X130" s="2002"/>
      <c r="Y130" s="2004"/>
      <c r="Z130" s="2005"/>
      <c r="AA130" s="1994"/>
      <c r="AB130" s="2006"/>
      <c r="AC130" s="2007"/>
      <c r="AD130" s="2008"/>
      <c r="AE130" s="1919"/>
      <c r="AF130" s="2009"/>
      <c r="AG130" s="2009"/>
      <c r="AH130" s="2010"/>
      <c r="AI130" s="1348"/>
      <c r="AJ130" s="1349"/>
      <c r="AK130" s="1348"/>
      <c r="AL130" s="2122"/>
      <c r="AM130" s="2012"/>
      <c r="AN130" s="2013"/>
      <c r="AO130" s="2014"/>
      <c r="AP130" s="2015"/>
      <c r="AQ130" s="2016"/>
      <c r="AR130" s="1993"/>
      <c r="AS130" s="2017"/>
      <c r="AT130" s="2018"/>
      <c r="AU130" s="2019"/>
      <c r="AV130" s="2020"/>
      <c r="AW130" s="2019"/>
      <c r="AX130" s="1334"/>
      <c r="AY130" s="2055"/>
      <c r="AZ130" s="2066"/>
      <c r="BA130" s="2123"/>
      <c r="BB130" s="2022"/>
      <c r="BC130" s="2023"/>
      <c r="BD130" s="1919"/>
      <c r="BE130" s="1919"/>
      <c r="BF130" s="2024"/>
      <c r="BG130" s="2025"/>
      <c r="BH130" s="2026"/>
      <c r="BI130" s="2027"/>
      <c r="BJ130" s="2019"/>
      <c r="BK130" s="2028"/>
      <c r="BL130" s="2019"/>
      <c r="BM130" s="2029"/>
      <c r="BN130" s="2012"/>
      <c r="BO130" s="2030"/>
      <c r="BP130" s="2031"/>
      <c r="BQ130" s="2032"/>
      <c r="BR130" s="2027"/>
      <c r="BS130" s="2019"/>
      <c r="BT130" s="2028"/>
      <c r="BU130" s="2019"/>
      <c r="BV130" s="2029"/>
      <c r="BW130" s="2033"/>
      <c r="BX130" s="2034"/>
      <c r="BY130" s="2035"/>
      <c r="BZ130" s="2024"/>
      <c r="CA130" s="1992"/>
      <c r="CB130" s="2036"/>
      <c r="CC130" s="2037"/>
      <c r="CD130" s="1994"/>
      <c r="CE130" s="1988"/>
      <c r="CF130" s="1988"/>
      <c r="CG130" s="2038"/>
      <c r="CH130" s="1988"/>
      <c r="CI130" s="2039"/>
      <c r="CJ130" s="1988"/>
      <c r="CK130" s="2040"/>
      <c r="CL130" s="2041"/>
      <c r="CM130" s="2042"/>
      <c r="CN130" s="2041"/>
      <c r="CO130" s="2043"/>
      <c r="CP130" s="2040"/>
      <c r="CQ130" s="2041"/>
      <c r="CR130" s="2042"/>
      <c r="CS130" s="2041"/>
      <c r="CT130" s="2043"/>
      <c r="CU130" s="2045"/>
      <c r="CV130" s="2046"/>
      <c r="CW130" s="2047"/>
      <c r="CX130" s="2048"/>
      <c r="CY130" s="2047"/>
      <c r="CZ130" s="2048"/>
      <c r="DA130" s="2047"/>
      <c r="DB130" s="2048"/>
      <c r="DC130" s="2049"/>
      <c r="DD130" s="2050"/>
      <c r="DE130" s="2050"/>
      <c r="DF130" s="1994"/>
      <c r="DG130" s="1994"/>
      <c r="DH130" s="1994"/>
      <c r="DI130" s="1994"/>
      <c r="DJ130" s="1994"/>
      <c r="DK130" s="1994"/>
      <c r="DL130" s="2024"/>
      <c r="DM130" s="2041"/>
      <c r="DN130" s="2044"/>
      <c r="DO130" s="1988"/>
      <c r="DP130" s="2051"/>
      <c r="DQ130" s="2044"/>
      <c r="DR130" s="2043"/>
      <c r="DS130" s="2052"/>
      <c r="DT130" s="2053"/>
      <c r="DU130" s="2054"/>
      <c r="DV130" s="2055"/>
      <c r="DW130" s="2056"/>
      <c r="DX130" s="1999"/>
      <c r="DY130" s="2056"/>
      <c r="DZ130" s="2018"/>
      <c r="EA130" s="2020"/>
      <c r="EB130" s="2020"/>
      <c r="EC130" s="2020"/>
      <c r="ED130" s="2057"/>
      <c r="EE130" s="2020"/>
      <c r="EF130" s="2058"/>
      <c r="EG130" s="2018"/>
      <c r="EH130" s="2020"/>
      <c r="EI130" s="2020"/>
      <c r="EJ130" s="2020"/>
      <c r="EK130" s="2057"/>
      <c r="EL130" s="1988"/>
      <c r="EM130" s="2040"/>
      <c r="EN130" s="2059"/>
      <c r="EO130" s="2055"/>
      <c r="EP130" s="1982"/>
      <c r="EQ130" s="1982"/>
      <c r="ER130" s="1982"/>
      <c r="ES130" s="1982"/>
      <c r="ET130" s="1982"/>
      <c r="EU130" s="1982"/>
      <c r="EV130" s="1982"/>
      <c r="EW130" s="1982"/>
      <c r="EX130" s="1982"/>
      <c r="EY130" s="1982"/>
      <c r="EZ130" s="1982"/>
      <c r="FA130" s="1982"/>
      <c r="FB130" s="1982"/>
      <c r="FC130" s="1982"/>
      <c r="FD130" s="1982"/>
      <c r="FE130" s="1982"/>
      <c r="FF130" s="1982"/>
      <c r="FG130" s="1982"/>
      <c r="FH130" s="1982"/>
      <c r="FI130" s="1982"/>
      <c r="FJ130" s="1982"/>
      <c r="FK130" s="1982"/>
      <c r="FL130" s="1982"/>
      <c r="FM130" s="1982"/>
      <c r="FN130" s="1982"/>
      <c r="FO130" s="1982"/>
      <c r="FP130" s="1982"/>
      <c r="FQ130" s="1982"/>
      <c r="FR130" s="1982"/>
    </row>
    <row r="131" spans="1:174" s="1398" customFormat="1" ht="11.25" customHeight="1" x14ac:dyDescent="0.2">
      <c r="A131" s="1907"/>
      <c r="B131" s="2064"/>
      <c r="C131" s="1988"/>
      <c r="D131" s="1988"/>
      <c r="E131" s="1989"/>
      <c r="F131" s="1988"/>
      <c r="G131" s="1990"/>
      <c r="H131" s="1991"/>
      <c r="I131" s="1990"/>
      <c r="J131" s="1991"/>
      <c r="K131" s="1992"/>
      <c r="L131" s="1993"/>
      <c r="M131" s="1994"/>
      <c r="N131" s="1995"/>
      <c r="O131" s="1996"/>
      <c r="P131" s="1992"/>
      <c r="Q131" s="1997"/>
      <c r="R131" s="1998"/>
      <c r="S131" s="1999"/>
      <c r="T131" s="2000"/>
      <c r="U131" s="2001"/>
      <c r="V131" s="2002"/>
      <c r="W131" s="2003"/>
      <c r="X131" s="2002"/>
      <c r="Y131" s="2004"/>
      <c r="Z131" s="2005"/>
      <c r="AA131" s="1994"/>
      <c r="AB131" s="2006"/>
      <c r="AC131" s="2007"/>
      <c r="AD131" s="2008"/>
      <c r="AE131" s="1919"/>
      <c r="AF131" s="2009"/>
      <c r="AG131" s="2009"/>
      <c r="AH131" s="2010"/>
      <c r="AI131" s="1348"/>
      <c r="AJ131" s="2011"/>
      <c r="AK131" s="1348"/>
      <c r="AL131" s="2122"/>
      <c r="AM131" s="2012"/>
      <c r="AN131" s="2013"/>
      <c r="AO131" s="2014"/>
      <c r="AP131" s="2015"/>
      <c r="AQ131" s="2016"/>
      <c r="AR131" s="1993"/>
      <c r="AS131" s="2017"/>
      <c r="AT131" s="2018"/>
      <c r="AU131" s="2019"/>
      <c r="AV131" s="2020"/>
      <c r="AW131" s="2019"/>
      <c r="AX131" s="2029"/>
      <c r="AY131" s="2055"/>
      <c r="AZ131" s="2066"/>
      <c r="BA131" s="2123"/>
      <c r="BB131" s="2022"/>
      <c r="BC131" s="2023"/>
      <c r="BD131" s="1919"/>
      <c r="BE131" s="1919"/>
      <c r="BF131" s="2024"/>
      <c r="BG131" s="2025"/>
      <c r="BH131" s="2026"/>
      <c r="BI131" s="2027"/>
      <c r="BJ131" s="2019"/>
      <c r="BK131" s="2028"/>
      <c r="BL131" s="2019"/>
      <c r="BM131" s="2029"/>
      <c r="BN131" s="2012"/>
      <c r="BO131" s="2030"/>
      <c r="BP131" s="2031"/>
      <c r="BQ131" s="2032"/>
      <c r="BR131" s="2027"/>
      <c r="BS131" s="2019"/>
      <c r="BT131" s="2028"/>
      <c r="BU131" s="2019"/>
      <c r="BV131" s="2029"/>
      <c r="BW131" s="2033"/>
      <c r="BX131" s="2034"/>
      <c r="BY131" s="2035"/>
      <c r="BZ131" s="2024"/>
      <c r="CA131" s="1992"/>
      <c r="CB131" s="2036"/>
      <c r="CC131" s="2037"/>
      <c r="CD131" s="1994"/>
      <c r="CE131" s="1988"/>
      <c r="CF131" s="1988"/>
      <c r="CG131" s="2038"/>
      <c r="CH131" s="1988"/>
      <c r="CI131" s="2039"/>
      <c r="CJ131" s="1988"/>
      <c r="CK131" s="2040"/>
      <c r="CL131" s="2041"/>
      <c r="CM131" s="2042"/>
      <c r="CN131" s="2041"/>
      <c r="CO131" s="2043"/>
      <c r="CP131" s="2040"/>
      <c r="CQ131" s="2041"/>
      <c r="CR131" s="2042"/>
      <c r="CS131" s="2041"/>
      <c r="CT131" s="2043"/>
      <c r="CU131" s="2045"/>
      <c r="CV131" s="2046"/>
      <c r="CW131" s="2047"/>
      <c r="CX131" s="2048"/>
      <c r="CY131" s="2047"/>
      <c r="CZ131" s="2048"/>
      <c r="DA131" s="2047"/>
      <c r="DB131" s="2048"/>
      <c r="DC131" s="2049"/>
      <c r="DD131" s="2050"/>
      <c r="DE131" s="2050"/>
      <c r="DF131" s="1994"/>
      <c r="DG131" s="1994"/>
      <c r="DH131" s="1994"/>
      <c r="DI131" s="1994"/>
      <c r="DJ131" s="1994"/>
      <c r="DK131" s="1994"/>
      <c r="DL131" s="2024"/>
      <c r="DM131" s="2041"/>
      <c r="DN131" s="2044"/>
      <c r="DO131" s="1988"/>
      <c r="DP131" s="2051"/>
      <c r="DQ131" s="2044"/>
      <c r="DR131" s="2043"/>
      <c r="DS131" s="2052"/>
      <c r="DT131" s="2053"/>
      <c r="DU131" s="2054"/>
      <c r="DV131" s="2055"/>
      <c r="DW131" s="2056"/>
      <c r="DX131" s="1999"/>
      <c r="DY131" s="2056"/>
      <c r="DZ131" s="2018"/>
      <c r="EA131" s="2020"/>
      <c r="EB131" s="2020"/>
      <c r="EC131" s="2020"/>
      <c r="ED131" s="2057"/>
      <c r="EE131" s="2020"/>
      <c r="EF131" s="2058"/>
      <c r="EG131" s="2018"/>
      <c r="EH131" s="2020"/>
      <c r="EI131" s="2020"/>
      <c r="EJ131" s="2020"/>
      <c r="EK131" s="2057"/>
      <c r="EL131" s="1988"/>
      <c r="EM131" s="2040"/>
      <c r="EN131" s="2059"/>
      <c r="EO131" s="2055"/>
      <c r="EP131" s="1982"/>
      <c r="EQ131" s="1982"/>
      <c r="ER131" s="1982"/>
      <c r="ES131" s="1982"/>
      <c r="ET131" s="1982"/>
      <c r="EU131" s="1982"/>
      <c r="EV131" s="1982"/>
      <c r="EW131" s="1982"/>
      <c r="EX131" s="1982"/>
      <c r="EY131" s="1982"/>
      <c r="EZ131" s="1982"/>
      <c r="FA131" s="1982"/>
      <c r="FB131" s="1982"/>
      <c r="FC131" s="1982"/>
      <c r="FD131" s="1982"/>
      <c r="FE131" s="1982"/>
      <c r="FF131" s="1982"/>
      <c r="FG131" s="1982"/>
      <c r="FH131" s="1982"/>
      <c r="FI131" s="1982"/>
      <c r="FJ131" s="1982"/>
      <c r="FK131" s="1982"/>
      <c r="FL131" s="1982"/>
      <c r="FM131" s="1982"/>
      <c r="FN131" s="1982"/>
      <c r="FO131" s="1982"/>
      <c r="FP131" s="1982"/>
      <c r="FQ131" s="1982"/>
      <c r="FR131" s="1982"/>
    </row>
    <row r="132" spans="1:174" s="1398" customFormat="1" ht="11.25" customHeight="1" x14ac:dyDescent="0.2">
      <c r="A132" s="1907"/>
      <c r="B132" s="1332"/>
      <c r="C132" s="1322"/>
      <c r="D132" s="1322"/>
      <c r="E132" s="1333"/>
      <c r="F132" s="1322"/>
      <c r="G132" s="1321"/>
      <c r="H132" s="1908"/>
      <c r="I132" s="1321"/>
      <c r="J132" s="1908"/>
      <c r="K132" s="1333"/>
      <c r="L132" s="1335"/>
      <c r="M132" s="1909"/>
      <c r="N132" s="1336"/>
      <c r="O132" s="1910"/>
      <c r="P132" s="1333"/>
      <c r="Q132" s="1332"/>
      <c r="R132" s="1911"/>
      <c r="S132" s="1912"/>
      <c r="T132" s="1337"/>
      <c r="U132" s="1338"/>
      <c r="V132" s="1913"/>
      <c r="W132" s="1914"/>
      <c r="X132" s="1915"/>
      <c r="Y132" s="1340"/>
      <c r="Z132" s="1340"/>
      <c r="AA132" s="1341"/>
      <c r="AB132" s="2124"/>
      <c r="AC132" s="1343"/>
      <c r="AD132" s="1344"/>
      <c r="AE132" s="1345"/>
      <c r="AF132" s="1346"/>
      <c r="AG132" s="1346"/>
      <c r="AH132" s="1347"/>
      <c r="AI132" s="1348"/>
      <c r="AJ132" s="1349"/>
      <c r="AK132" s="1348"/>
      <c r="AL132" s="1350"/>
      <c r="AM132" s="1351"/>
      <c r="AN132" s="1352"/>
      <c r="AO132" s="1353"/>
      <c r="AP132" s="1354"/>
      <c r="AQ132" s="1355"/>
      <c r="AR132" s="1356"/>
      <c r="AS132" s="1357"/>
      <c r="AT132" s="1358"/>
      <c r="AU132" s="1359"/>
      <c r="AV132" s="1360"/>
      <c r="AW132" s="1359"/>
      <c r="AX132" s="1334"/>
      <c r="AY132" s="1323"/>
      <c r="AZ132" s="1917"/>
      <c r="BA132" s="1362"/>
      <c r="BB132" s="1363"/>
      <c r="BC132" s="1918"/>
      <c r="BD132" s="1919"/>
      <c r="BE132" s="1919"/>
      <c r="BF132" s="1364"/>
      <c r="BG132" s="1365"/>
      <c r="BH132" s="1920"/>
      <c r="BI132" s="1921"/>
      <c r="BJ132" s="1367"/>
      <c r="BK132" s="1922"/>
      <c r="BL132" s="1367"/>
      <c r="BM132" s="1923"/>
      <c r="BN132" s="1351"/>
      <c r="BO132" s="1369"/>
      <c r="BP132" s="1370"/>
      <c r="BQ132" s="1371"/>
      <c r="BR132" s="1366"/>
      <c r="BS132" s="1359"/>
      <c r="BT132" s="1924"/>
      <c r="BU132" s="1359"/>
      <c r="BV132" s="1334"/>
      <c r="BW132" s="1373"/>
      <c r="BX132" s="1374"/>
      <c r="BY132" s="1400"/>
      <c r="BZ132" s="1364"/>
      <c r="CA132" s="1375"/>
      <c r="CB132" s="1376"/>
      <c r="CC132" s="1377"/>
      <c r="CD132" s="1341"/>
      <c r="CE132" s="1322"/>
      <c r="CF132" s="1322"/>
      <c r="CG132" s="1401"/>
      <c r="CH132" s="1322"/>
      <c r="CI132" s="1322"/>
      <c r="CJ132" s="1322"/>
      <c r="CK132" s="1379"/>
      <c r="CL132" s="1380"/>
      <c r="CM132" s="1381"/>
      <c r="CN132" s="1380"/>
      <c r="CO132" s="1382"/>
      <c r="CP132" s="1379"/>
      <c r="CQ132" s="1380"/>
      <c r="CR132" s="1381"/>
      <c r="CS132" s="1380"/>
      <c r="CT132" s="1382"/>
      <c r="CU132" s="1383"/>
      <c r="CV132" s="1384"/>
      <c r="CW132" s="1385"/>
      <c r="CX132" s="1386"/>
      <c r="CY132" s="1385"/>
      <c r="CZ132" s="1386"/>
      <c r="DA132" s="1385"/>
      <c r="DB132" s="1386"/>
      <c r="DC132" s="1387"/>
      <c r="DD132" s="1388"/>
      <c r="DE132" s="1388"/>
      <c r="DF132" s="1341"/>
      <c r="DG132" s="1341"/>
      <c r="DH132" s="1341"/>
      <c r="DI132" s="1341"/>
      <c r="DJ132" s="1341"/>
      <c r="DK132" s="1341"/>
      <c r="DL132" s="1364"/>
      <c r="DM132" s="1380"/>
      <c r="DN132" s="1389"/>
      <c r="DO132" s="1987"/>
      <c r="DP132" s="2067"/>
      <c r="DQ132" s="1382"/>
      <c r="DR132" s="1382"/>
      <c r="DS132" s="1391"/>
      <c r="DT132" s="1392"/>
      <c r="DU132" s="1393"/>
      <c r="DV132" s="1323"/>
      <c r="DW132" s="1394"/>
      <c r="DX132" s="1912"/>
      <c r="DY132" s="1394"/>
      <c r="DZ132" s="1358"/>
      <c r="EA132" s="1360"/>
      <c r="EB132" s="1360"/>
      <c r="EC132" s="1360"/>
      <c r="ED132" s="1395"/>
      <c r="EE132" s="1360"/>
      <c r="EF132" s="1396"/>
      <c r="EG132" s="1358"/>
      <c r="EH132" s="1360"/>
      <c r="EI132" s="1360"/>
      <c r="EJ132" s="1360"/>
      <c r="EK132" s="1395"/>
      <c r="EL132" s="1322"/>
      <c r="EM132" s="1379"/>
      <c r="EN132" s="1397"/>
      <c r="EO132" s="1323"/>
    </row>
    <row r="133" spans="1:174" s="2135" customFormat="1" ht="11.25" customHeight="1" x14ac:dyDescent="0.2">
      <c r="A133" s="1907"/>
      <c r="B133" s="2064"/>
      <c r="C133" s="1322"/>
      <c r="D133" s="1927"/>
      <c r="E133" s="1928"/>
      <c r="F133" s="1927"/>
      <c r="G133" s="1929"/>
      <c r="H133" s="1930"/>
      <c r="I133" s="1929"/>
      <c r="J133" s="1930"/>
      <c r="K133" s="1928"/>
      <c r="L133" s="1335"/>
      <c r="M133" s="1909"/>
      <c r="N133" s="1336"/>
      <c r="O133" s="1910"/>
      <c r="P133" s="1928"/>
      <c r="Q133" s="1332"/>
      <c r="R133" s="1931"/>
      <c r="S133" s="1912"/>
      <c r="T133" s="1932"/>
      <c r="U133" s="1933"/>
      <c r="V133" s="1913"/>
      <c r="W133" s="1914"/>
      <c r="X133" s="1913"/>
      <c r="Y133" s="1340"/>
      <c r="Z133" s="1340"/>
      <c r="AA133" s="1909"/>
      <c r="AB133" s="1934"/>
      <c r="AC133" s="1935"/>
      <c r="AD133" s="1936"/>
      <c r="AE133" s="1937"/>
      <c r="AF133" s="1938"/>
      <c r="AG133" s="1938"/>
      <c r="AH133" s="1347"/>
      <c r="AI133" s="1348"/>
      <c r="AJ133" s="1349"/>
      <c r="AK133" s="1348"/>
      <c r="AL133" s="1350"/>
      <c r="AM133" s="1368"/>
      <c r="AN133" s="1939"/>
      <c r="AO133" s="1940"/>
      <c r="AP133" s="1941"/>
      <c r="AQ133" s="1942"/>
      <c r="AR133" s="1335"/>
      <c r="AS133" s="1943"/>
      <c r="AT133" s="1944"/>
      <c r="AU133" s="1945"/>
      <c r="AV133" s="1946"/>
      <c r="AW133" s="2125"/>
      <c r="AX133" s="1334"/>
      <c r="AY133" s="1323"/>
      <c r="AZ133" s="2126"/>
      <c r="BA133" s="1362"/>
      <c r="BB133" s="1948"/>
      <c r="BC133" s="1918"/>
      <c r="BD133" s="1919"/>
      <c r="BE133" s="1919"/>
      <c r="BF133" s="1949"/>
      <c r="BG133" s="1950"/>
      <c r="BH133" s="1951"/>
      <c r="BI133" s="1921"/>
      <c r="BJ133" s="1367"/>
      <c r="BK133" s="1922"/>
      <c r="BL133" s="1367"/>
      <c r="BM133" s="1923"/>
      <c r="BN133" s="1368"/>
      <c r="BO133" s="1952"/>
      <c r="BP133" s="1953"/>
      <c r="BQ133" s="1954"/>
      <c r="BR133" s="1366"/>
      <c r="BS133" s="1945"/>
      <c r="BT133" s="1955"/>
      <c r="BU133" s="1945"/>
      <c r="BV133" s="1956"/>
      <c r="BW133" s="1957"/>
      <c r="BX133" s="1958"/>
      <c r="BY133" s="1400"/>
      <c r="BZ133" s="1949"/>
      <c r="CA133" s="1375"/>
      <c r="CB133" s="1959"/>
      <c r="CC133" s="1960"/>
      <c r="CD133" s="1909"/>
      <c r="CE133" s="1927"/>
      <c r="CF133" s="1927"/>
      <c r="CG133" s="1961"/>
      <c r="CH133" s="2127"/>
      <c r="CI133" s="1913"/>
      <c r="CJ133" s="1927"/>
      <c r="CK133" s="1962"/>
      <c r="CL133" s="1326"/>
      <c r="CM133" s="1963"/>
      <c r="CN133" s="1326"/>
      <c r="CO133" s="1964"/>
      <c r="CP133" s="1962"/>
      <c r="CQ133" s="1326"/>
      <c r="CR133" s="1963"/>
      <c r="CS133" s="1326"/>
      <c r="CT133" s="1964"/>
      <c r="CU133" s="1965"/>
      <c r="CV133" s="1966"/>
      <c r="CW133" s="1339"/>
      <c r="CX133" s="1967"/>
      <c r="CY133" s="1339"/>
      <c r="CZ133" s="1967"/>
      <c r="DA133" s="1339"/>
      <c r="DB133" s="1967"/>
      <c r="DC133" s="1968"/>
      <c r="DD133" s="1969"/>
      <c r="DE133" s="1969"/>
      <c r="DF133" s="1909"/>
      <c r="DG133" s="1909"/>
      <c r="DH133" s="1909"/>
      <c r="DI133" s="1909"/>
      <c r="DJ133" s="1909"/>
      <c r="DK133" s="1909"/>
      <c r="DL133" s="1949"/>
      <c r="DM133" s="2128"/>
      <c r="DN133" s="2129"/>
      <c r="DO133" s="2127"/>
      <c r="DP133" s="2130"/>
      <c r="DQ133" s="2129"/>
      <c r="DR133" s="2129"/>
      <c r="DS133" s="2131"/>
      <c r="DT133" s="2132"/>
      <c r="DU133" s="1975"/>
      <c r="DV133" s="1976"/>
      <c r="DW133" s="1977"/>
      <c r="DX133" s="1912"/>
      <c r="DY133" s="1977"/>
      <c r="DZ133" s="1944"/>
      <c r="EA133" s="1946"/>
      <c r="EB133" s="2133"/>
      <c r="EC133" s="1946"/>
      <c r="ED133" s="1978"/>
      <c r="EE133" s="1946"/>
      <c r="EF133" s="1979"/>
      <c r="EG133" s="1944"/>
      <c r="EH133" s="1946"/>
      <c r="EI133" s="2134"/>
      <c r="EJ133" s="1946"/>
      <c r="EK133" s="1978"/>
      <c r="EL133" s="1927"/>
      <c r="EM133" s="1962"/>
      <c r="EN133" s="1980"/>
      <c r="EO133" s="1976"/>
      <c r="EP133" s="1926"/>
      <c r="EQ133" s="1926"/>
      <c r="ER133" s="1926"/>
      <c r="ES133" s="1926"/>
      <c r="ET133" s="1926"/>
      <c r="EU133" s="1926"/>
      <c r="EV133" s="1926"/>
      <c r="EW133" s="1926"/>
      <c r="EX133" s="1926"/>
      <c r="EY133" s="1926"/>
      <c r="EZ133" s="1926"/>
      <c r="FA133" s="1926"/>
      <c r="FB133" s="1926"/>
      <c r="FC133" s="1926"/>
      <c r="FD133" s="1926"/>
      <c r="FE133" s="1926"/>
      <c r="FF133" s="1926"/>
      <c r="FG133" s="1926"/>
      <c r="FH133" s="1926"/>
      <c r="FI133" s="1926"/>
      <c r="FJ133" s="1926"/>
      <c r="FK133" s="1926"/>
      <c r="FL133" s="1926"/>
      <c r="FM133" s="1926"/>
      <c r="FN133" s="1398"/>
      <c r="FO133" s="1398"/>
      <c r="FP133" s="1398"/>
      <c r="FQ133" s="1398"/>
      <c r="FR133" s="1398"/>
    </row>
    <row r="134" spans="1:174" s="2215" customFormat="1" ht="11.25" customHeight="1" x14ac:dyDescent="0.2">
      <c r="A134" s="1907"/>
      <c r="B134" s="1332"/>
      <c r="C134" s="2136"/>
      <c r="D134" s="2136"/>
      <c r="E134" s="2137"/>
      <c r="F134" s="2136"/>
      <c r="G134" s="2138"/>
      <c r="H134" s="2139"/>
      <c r="I134" s="2138"/>
      <c r="J134" s="2139"/>
      <c r="K134" s="2137"/>
      <c r="L134" s="2140"/>
      <c r="M134" s="2141"/>
      <c r="N134" s="2142"/>
      <c r="O134" s="2143"/>
      <c r="P134" s="2137"/>
      <c r="Q134" s="2144"/>
      <c r="R134" s="2145"/>
      <c r="S134" s="2146"/>
      <c r="T134" s="2147"/>
      <c r="U134" s="2148"/>
      <c r="V134" s="2149"/>
      <c r="W134" s="2150"/>
      <c r="X134" s="2149"/>
      <c r="Y134" s="2151"/>
      <c r="Z134" s="2151"/>
      <c r="AA134" s="2141"/>
      <c r="AB134" s="2152"/>
      <c r="AC134" s="2153"/>
      <c r="AD134" s="2154"/>
      <c r="AE134" s="2155"/>
      <c r="AF134" s="2156"/>
      <c r="AG134" s="2157"/>
      <c r="AH134" s="2158"/>
      <c r="AI134" s="1348"/>
      <c r="AJ134" s="2159"/>
      <c r="AK134" s="1348"/>
      <c r="AL134" s="2160"/>
      <c r="AM134" s="2161"/>
      <c r="AN134" s="2162"/>
      <c r="AO134" s="2163"/>
      <c r="AP134" s="2164"/>
      <c r="AQ134" s="2165"/>
      <c r="AR134" s="2166"/>
      <c r="AS134" s="2157"/>
      <c r="AT134" s="2167"/>
      <c r="AU134" s="2168"/>
      <c r="AV134" s="2169"/>
      <c r="AW134" s="2168"/>
      <c r="AX134" s="2170"/>
      <c r="AY134" s="2171"/>
      <c r="AZ134" s="2172"/>
      <c r="BA134" s="2173"/>
      <c r="BB134" s="2174"/>
      <c r="BC134" s="2175"/>
      <c r="BD134" s="2176"/>
      <c r="BE134" s="2176"/>
      <c r="BF134" s="2177"/>
      <c r="BG134" s="2178"/>
      <c r="BH134" s="2179"/>
      <c r="BI134" s="2180"/>
      <c r="BJ134" s="2101"/>
      <c r="BK134" s="2181"/>
      <c r="BL134" s="2101"/>
      <c r="BM134" s="2182"/>
      <c r="BN134" s="2161"/>
      <c r="BO134" s="2183"/>
      <c r="BP134" s="2184"/>
      <c r="BQ134" s="2185"/>
      <c r="BR134" s="2186"/>
      <c r="BS134" s="2168"/>
      <c r="BT134" s="2187"/>
      <c r="BU134" s="2168"/>
      <c r="BV134" s="2188"/>
      <c r="BW134" s="2189"/>
      <c r="BX134" s="2190"/>
      <c r="BY134" s="2191"/>
      <c r="BZ134" s="2177"/>
      <c r="CA134" s="2137"/>
      <c r="CB134" s="2192"/>
      <c r="CC134" s="2193"/>
      <c r="CD134" s="2141"/>
      <c r="CE134" s="2136"/>
      <c r="CF134" s="2136"/>
      <c r="CG134" s="2194"/>
      <c r="CH134" s="2136"/>
      <c r="CI134" s="2136"/>
      <c r="CJ134" s="2136"/>
      <c r="CK134" s="2190"/>
      <c r="CL134" s="2195"/>
      <c r="CM134" s="2196"/>
      <c r="CN134" s="2195"/>
      <c r="CO134" s="2197"/>
      <c r="CP134" s="2190"/>
      <c r="CQ134" s="2195"/>
      <c r="CR134" s="2196"/>
      <c r="CS134" s="2195"/>
      <c r="CT134" s="2197"/>
      <c r="CU134" s="2198"/>
      <c r="CV134" s="2199"/>
      <c r="CW134" s="2200"/>
      <c r="CX134" s="2201"/>
      <c r="CY134" s="2200"/>
      <c r="CZ134" s="2201"/>
      <c r="DA134" s="2200"/>
      <c r="DB134" s="2201"/>
      <c r="DC134" s="2202"/>
      <c r="DD134" s="2203"/>
      <c r="DE134" s="2203"/>
      <c r="DF134" s="2141"/>
      <c r="DG134" s="2141"/>
      <c r="DH134" s="2141"/>
      <c r="DI134" s="2141"/>
      <c r="DJ134" s="2141"/>
      <c r="DK134" s="2141"/>
      <c r="DL134" s="2177"/>
      <c r="DM134" s="2195"/>
      <c r="DN134" s="2204"/>
      <c r="DO134" s="2136"/>
      <c r="DP134" s="2205"/>
      <c r="DQ134" s="2204"/>
      <c r="DR134" s="2197"/>
      <c r="DS134" s="2206"/>
      <c r="DT134" s="2207"/>
      <c r="DU134" s="2208"/>
      <c r="DV134" s="2209"/>
      <c r="DW134" s="2210"/>
      <c r="DX134" s="2146"/>
      <c r="DY134" s="2211"/>
      <c r="DZ134" s="2167"/>
      <c r="EA134" s="2169"/>
      <c r="EB134" s="2169"/>
      <c r="EC134" s="2169"/>
      <c r="ED134" s="2212"/>
      <c r="EE134" s="2169"/>
      <c r="EF134" s="2213"/>
      <c r="EG134" s="2167"/>
      <c r="EH134" s="2169"/>
      <c r="EI134" s="2169"/>
      <c r="EJ134" s="2169"/>
      <c r="EK134" s="2212"/>
      <c r="EL134" s="2136"/>
      <c r="EM134" s="2190"/>
      <c r="EN134" s="2214"/>
      <c r="EO134" s="2209"/>
      <c r="EP134" s="1399"/>
      <c r="EQ134" s="1399"/>
      <c r="ER134" s="1399"/>
      <c r="ES134" s="1399"/>
      <c r="ET134" s="1399"/>
      <c r="EU134" s="1399"/>
      <c r="EV134" s="1399"/>
      <c r="EW134" s="1399"/>
      <c r="EX134" s="1399"/>
      <c r="EY134" s="1399"/>
      <c r="EZ134" s="1399"/>
      <c r="FA134" s="1399"/>
      <c r="FB134" s="1399"/>
      <c r="FC134" s="1399"/>
      <c r="FD134" s="1399"/>
      <c r="FE134" s="1399"/>
      <c r="FF134" s="1399"/>
      <c r="FG134" s="1399"/>
      <c r="FH134" s="1399"/>
      <c r="FI134" s="1399"/>
      <c r="FJ134" s="1399"/>
      <c r="FK134" s="1399"/>
      <c r="FL134" s="1399"/>
      <c r="FM134" s="1399"/>
      <c r="FN134" s="2118"/>
      <c r="FO134" s="2118"/>
      <c r="FP134" s="2118"/>
      <c r="FQ134" s="2118"/>
      <c r="FR134" s="2118"/>
    </row>
    <row r="135" spans="1:174" s="1398" customFormat="1" ht="11.25" customHeight="1" x14ac:dyDescent="0.2">
      <c r="A135" s="1907"/>
      <c r="B135" s="1332"/>
      <c r="C135" s="2216"/>
      <c r="D135" s="1322"/>
      <c r="E135" s="1333"/>
      <c r="F135" s="1322"/>
      <c r="G135" s="1321"/>
      <c r="H135" s="1908"/>
      <c r="I135" s="1321"/>
      <c r="J135" s="1908"/>
      <c r="K135" s="1333"/>
      <c r="L135" s="1335"/>
      <c r="M135" s="1909"/>
      <c r="N135" s="1336"/>
      <c r="O135" s="1910"/>
      <c r="P135" s="1333"/>
      <c r="Q135" s="1332"/>
      <c r="R135" s="1911"/>
      <c r="S135" s="1912"/>
      <c r="T135" s="1337"/>
      <c r="U135" s="1338"/>
      <c r="V135" s="1913"/>
      <c r="W135" s="1914"/>
      <c r="X135" s="1915"/>
      <c r="Y135" s="1340"/>
      <c r="Z135" s="1340"/>
      <c r="AA135" s="1341"/>
      <c r="AB135" s="1916"/>
      <c r="AC135" s="1343"/>
      <c r="AD135" s="1344"/>
      <c r="AE135" s="1345"/>
      <c r="AF135" s="1346"/>
      <c r="AG135" s="1346"/>
      <c r="AH135" s="1347"/>
      <c r="AI135" s="1348"/>
      <c r="AJ135" s="1349"/>
      <c r="AK135" s="1348"/>
      <c r="AL135" s="1350"/>
      <c r="AM135" s="1351"/>
      <c r="AN135" s="1352"/>
      <c r="AO135" s="1353"/>
      <c r="AP135" s="1354"/>
      <c r="AQ135" s="1355"/>
      <c r="AR135" s="1356"/>
      <c r="AS135" s="1357"/>
      <c r="AT135" s="1358"/>
      <c r="AU135" s="1359"/>
      <c r="AV135" s="1360"/>
      <c r="AW135" s="1359"/>
      <c r="AX135" s="1334"/>
      <c r="AY135" s="1323"/>
      <c r="AZ135" s="1917"/>
      <c r="BA135" s="1362"/>
      <c r="BB135" s="1363"/>
      <c r="BC135" s="1918"/>
      <c r="BD135" s="1919"/>
      <c r="BE135" s="1919"/>
      <c r="BF135" s="1364"/>
      <c r="BG135" s="1365"/>
      <c r="BH135" s="1920"/>
      <c r="BI135" s="1921"/>
      <c r="BJ135" s="1367"/>
      <c r="BK135" s="1922"/>
      <c r="BL135" s="1367"/>
      <c r="BM135" s="1923"/>
      <c r="BN135" s="1351"/>
      <c r="BO135" s="1369"/>
      <c r="BP135" s="1370"/>
      <c r="BQ135" s="1371"/>
      <c r="BR135" s="1366"/>
      <c r="BS135" s="1359"/>
      <c r="BT135" s="1924"/>
      <c r="BU135" s="1359"/>
      <c r="BV135" s="1334"/>
      <c r="BW135" s="1373"/>
      <c r="BX135" s="1374"/>
      <c r="BY135" s="1400"/>
      <c r="BZ135" s="1364"/>
      <c r="CA135" s="1375"/>
      <c r="CB135" s="1376"/>
      <c r="CC135" s="1377"/>
      <c r="CD135" s="1341"/>
      <c r="CE135" s="1322"/>
      <c r="CF135" s="1322"/>
      <c r="CG135" s="1401"/>
      <c r="CH135" s="1322"/>
      <c r="CI135" s="1925"/>
      <c r="CJ135" s="1322"/>
      <c r="CK135" s="1379"/>
      <c r="CL135" s="1380"/>
      <c r="CM135" s="1381"/>
      <c r="CN135" s="1380"/>
      <c r="CO135" s="1382"/>
      <c r="CP135" s="1379"/>
      <c r="CQ135" s="1380"/>
      <c r="CR135" s="1381"/>
      <c r="CS135" s="1380"/>
      <c r="CT135" s="1382"/>
      <c r="CU135" s="1383"/>
      <c r="CV135" s="1384"/>
      <c r="CW135" s="1385"/>
      <c r="CX135" s="1386"/>
      <c r="CY135" s="1385"/>
      <c r="CZ135" s="1386"/>
      <c r="DA135" s="1385"/>
      <c r="DB135" s="1386"/>
      <c r="DC135" s="1387"/>
      <c r="DD135" s="1388"/>
      <c r="DE135" s="1388"/>
      <c r="DF135" s="1341"/>
      <c r="DG135" s="1341"/>
      <c r="DH135" s="1341"/>
      <c r="DI135" s="1341"/>
      <c r="DJ135" s="1341"/>
      <c r="DK135" s="1341"/>
      <c r="DL135" s="1364"/>
      <c r="DM135" s="1380"/>
      <c r="DN135" s="1389"/>
      <c r="DO135" s="1987"/>
      <c r="DP135" s="1390"/>
      <c r="DQ135" s="1389"/>
      <c r="DR135" s="1389"/>
      <c r="DS135" s="2076"/>
      <c r="DT135" s="1333"/>
      <c r="DU135" s="1393"/>
      <c r="DV135" s="1323"/>
      <c r="DW135" s="1394"/>
      <c r="DX135" s="1912"/>
      <c r="DY135" s="1394"/>
      <c r="DZ135" s="2077"/>
      <c r="EA135" s="1360"/>
      <c r="EB135" s="2078"/>
      <c r="EC135" s="1360"/>
      <c r="ED135" s="1395"/>
      <c r="EE135" s="1360"/>
      <c r="EF135" s="1396"/>
      <c r="EG135" s="2077"/>
      <c r="EH135" s="1360"/>
      <c r="EI135" s="2078"/>
      <c r="EJ135" s="1360"/>
      <c r="EK135" s="1395"/>
      <c r="EL135" s="1322"/>
      <c r="EM135" s="1379"/>
      <c r="EN135" s="1397"/>
      <c r="EO135" s="1323"/>
    </row>
    <row r="136" spans="1:174" s="1398" customFormat="1" ht="11.25" customHeight="1" x14ac:dyDescent="0.2">
      <c r="A136" s="1907"/>
      <c r="B136" s="2064"/>
      <c r="C136" s="1322"/>
      <c r="D136" s="1322"/>
      <c r="E136" s="1333"/>
      <c r="F136" s="1322"/>
      <c r="G136" s="1321"/>
      <c r="H136" s="1908"/>
      <c r="I136" s="1321"/>
      <c r="J136" s="1908"/>
      <c r="K136" s="1333"/>
      <c r="L136" s="1335"/>
      <c r="M136" s="1909"/>
      <c r="N136" s="1336"/>
      <c r="O136" s="1910"/>
      <c r="P136" s="1333"/>
      <c r="Q136" s="1332"/>
      <c r="R136" s="1911"/>
      <c r="S136" s="1912"/>
      <c r="T136" s="1337"/>
      <c r="U136" s="1338"/>
      <c r="V136" s="1913"/>
      <c r="W136" s="1914"/>
      <c r="X136" s="1915"/>
      <c r="Y136" s="1340"/>
      <c r="Z136" s="1340"/>
      <c r="AA136" s="1341"/>
      <c r="AB136" s="1916"/>
      <c r="AC136" s="1343"/>
      <c r="AD136" s="1344"/>
      <c r="AE136" s="1345"/>
      <c r="AF136" s="1346"/>
      <c r="AG136" s="1346"/>
      <c r="AH136" s="1347"/>
      <c r="AI136" s="1348"/>
      <c r="AJ136" s="1349"/>
      <c r="AK136" s="1348"/>
      <c r="AL136" s="1350"/>
      <c r="AM136" s="1351"/>
      <c r="AN136" s="1352"/>
      <c r="AO136" s="1353"/>
      <c r="AP136" s="1354"/>
      <c r="AQ136" s="1355"/>
      <c r="AR136" s="1356"/>
      <c r="AS136" s="1357"/>
      <c r="AT136" s="1358"/>
      <c r="AU136" s="1359"/>
      <c r="AV136" s="1360"/>
      <c r="AW136" s="1359"/>
      <c r="AX136" s="1334"/>
      <c r="AY136" s="1323"/>
      <c r="AZ136" s="1917"/>
      <c r="BA136" s="1362"/>
      <c r="BB136" s="1363"/>
      <c r="BC136" s="1918"/>
      <c r="BD136" s="1919"/>
      <c r="BE136" s="1919"/>
      <c r="BF136" s="1364"/>
      <c r="BG136" s="1365"/>
      <c r="BH136" s="1920"/>
      <c r="BI136" s="1921"/>
      <c r="BJ136" s="1367"/>
      <c r="BK136" s="1922"/>
      <c r="BL136" s="1367"/>
      <c r="BM136" s="1923"/>
      <c r="BN136" s="1351"/>
      <c r="BO136" s="1369"/>
      <c r="BP136" s="1370"/>
      <c r="BQ136" s="1371"/>
      <c r="BR136" s="1366"/>
      <c r="BS136" s="1359"/>
      <c r="BT136" s="1924"/>
      <c r="BU136" s="1359"/>
      <c r="BV136" s="1334"/>
      <c r="BW136" s="1373"/>
      <c r="BX136" s="1374"/>
      <c r="BY136" s="1400"/>
      <c r="BZ136" s="1364"/>
      <c r="CA136" s="1375"/>
      <c r="CB136" s="1376"/>
      <c r="CC136" s="1377"/>
      <c r="CD136" s="1341"/>
      <c r="CE136" s="1322"/>
      <c r="CF136" s="1322"/>
      <c r="CG136" s="1401"/>
      <c r="CH136" s="1322"/>
      <c r="CI136" s="1925"/>
      <c r="CJ136" s="1322"/>
      <c r="CK136" s="1379"/>
      <c r="CL136" s="1380"/>
      <c r="CM136" s="1381"/>
      <c r="CN136" s="1380"/>
      <c r="CO136" s="1382"/>
      <c r="CP136" s="1379"/>
      <c r="CQ136" s="1380"/>
      <c r="CR136" s="1381"/>
      <c r="CS136" s="1380"/>
      <c r="CT136" s="1382"/>
      <c r="CU136" s="1383"/>
      <c r="CV136" s="1384"/>
      <c r="CW136" s="1385"/>
      <c r="CX136" s="1386"/>
      <c r="CY136" s="1385"/>
      <c r="CZ136" s="1386"/>
      <c r="DA136" s="1385"/>
      <c r="DB136" s="1386"/>
      <c r="DC136" s="1387"/>
      <c r="DD136" s="1388"/>
      <c r="DE136" s="2075"/>
      <c r="DF136" s="1341"/>
      <c r="DG136" s="1341"/>
      <c r="DH136" s="1341"/>
      <c r="DI136" s="1341"/>
      <c r="DJ136" s="1341"/>
      <c r="DK136" s="1341"/>
      <c r="DL136" s="1364"/>
      <c r="DM136" s="1380"/>
      <c r="DN136" s="1389"/>
      <c r="DO136" s="1987"/>
      <c r="DP136" s="2067"/>
      <c r="DQ136" s="1382"/>
      <c r="DR136" s="1382"/>
      <c r="DS136" s="1391"/>
      <c r="DT136" s="1392"/>
      <c r="DU136" s="1393"/>
      <c r="DV136" s="1323"/>
      <c r="DW136" s="1394"/>
      <c r="DX136" s="1912"/>
      <c r="DY136" s="1394"/>
      <c r="DZ136" s="2077"/>
      <c r="EA136" s="1360"/>
      <c r="EB136" s="2078"/>
      <c r="EC136" s="1360"/>
      <c r="ED136" s="1395"/>
      <c r="EE136" s="1360"/>
      <c r="EF136" s="1396"/>
      <c r="EG136" s="2077"/>
      <c r="EH136" s="1360"/>
      <c r="EI136" s="2078"/>
      <c r="EJ136" s="1360"/>
      <c r="EK136" s="1395"/>
      <c r="EL136" s="1322"/>
      <c r="EM136" s="1379"/>
      <c r="EN136" s="1397"/>
      <c r="EO136" s="1323"/>
      <c r="FM136" s="2074"/>
    </row>
    <row r="137" spans="1:174" s="1398" customFormat="1" ht="11.25" customHeight="1" x14ac:dyDescent="0.2">
      <c r="A137" s="1907"/>
      <c r="B137" s="1332"/>
      <c r="C137" s="2216"/>
      <c r="D137" s="1322"/>
      <c r="E137" s="1333"/>
      <c r="F137" s="1322"/>
      <c r="G137" s="1321"/>
      <c r="H137" s="1908"/>
      <c r="I137" s="1321"/>
      <c r="J137" s="1908"/>
      <c r="K137" s="1333"/>
      <c r="L137" s="1335"/>
      <c r="M137" s="1909"/>
      <c r="N137" s="1336"/>
      <c r="O137" s="1910"/>
      <c r="P137" s="1333"/>
      <c r="Q137" s="1332"/>
      <c r="R137" s="1911"/>
      <c r="S137" s="1912"/>
      <c r="T137" s="1337"/>
      <c r="U137" s="1338"/>
      <c r="V137" s="1913"/>
      <c r="W137" s="1914"/>
      <c r="X137" s="1915"/>
      <c r="Y137" s="1340"/>
      <c r="Z137" s="1340"/>
      <c r="AA137" s="1341"/>
      <c r="AB137" s="1916"/>
      <c r="AC137" s="1343"/>
      <c r="AD137" s="1344"/>
      <c r="AE137" s="1345"/>
      <c r="AF137" s="1346"/>
      <c r="AG137" s="1346"/>
      <c r="AH137" s="1347"/>
      <c r="AI137" s="1348"/>
      <c r="AJ137" s="1349"/>
      <c r="AK137" s="1348"/>
      <c r="AL137" s="1350"/>
      <c r="AM137" s="1351"/>
      <c r="AN137" s="1352"/>
      <c r="AO137" s="1353"/>
      <c r="AP137" s="1354"/>
      <c r="AQ137" s="1355"/>
      <c r="AR137" s="1356"/>
      <c r="AS137" s="1357"/>
      <c r="AT137" s="1358"/>
      <c r="AU137" s="2105"/>
      <c r="AV137" s="1360"/>
      <c r="AW137" s="2217"/>
      <c r="AX137" s="1334"/>
      <c r="AY137" s="1323"/>
      <c r="AZ137" s="1917"/>
      <c r="BA137" s="1362"/>
      <c r="BB137" s="1363"/>
      <c r="BC137" s="1918"/>
      <c r="BD137" s="1919"/>
      <c r="BE137" s="1919"/>
      <c r="BF137" s="1364"/>
      <c r="BG137" s="1365"/>
      <c r="BH137" s="1920"/>
      <c r="BI137" s="1921"/>
      <c r="BJ137" s="1367"/>
      <c r="BK137" s="1922"/>
      <c r="BL137" s="1367"/>
      <c r="BM137" s="1923"/>
      <c r="BN137" s="1351"/>
      <c r="BO137" s="1369"/>
      <c r="BP137" s="1370"/>
      <c r="BQ137" s="1371"/>
      <c r="BR137" s="1366"/>
      <c r="BS137" s="1359"/>
      <c r="BT137" s="1924"/>
      <c r="BU137" s="1359"/>
      <c r="BV137" s="1334"/>
      <c r="BW137" s="1373"/>
      <c r="BX137" s="1374"/>
      <c r="BY137" s="1400"/>
      <c r="BZ137" s="1364"/>
      <c r="CA137" s="1375"/>
      <c r="CB137" s="1376"/>
      <c r="CC137" s="1377"/>
      <c r="CD137" s="1341"/>
      <c r="CE137" s="1322"/>
      <c r="CF137" s="1322"/>
      <c r="CG137" s="1401"/>
      <c r="CH137" s="1322"/>
      <c r="CI137" s="1925"/>
      <c r="CJ137" s="1322"/>
      <c r="CK137" s="1379"/>
      <c r="CL137" s="1380"/>
      <c r="CM137" s="1381"/>
      <c r="CN137" s="1380"/>
      <c r="CO137" s="1382"/>
      <c r="CP137" s="1379"/>
      <c r="CQ137" s="1380"/>
      <c r="CR137" s="1381"/>
      <c r="CS137" s="1380"/>
      <c r="CT137" s="1382"/>
      <c r="CU137" s="1383"/>
      <c r="CV137" s="1384"/>
      <c r="CW137" s="1385"/>
      <c r="CX137" s="1386"/>
      <c r="CY137" s="1385"/>
      <c r="CZ137" s="1386"/>
      <c r="DA137" s="1385"/>
      <c r="DB137" s="1386"/>
      <c r="DC137" s="1387"/>
      <c r="DD137" s="1388"/>
      <c r="DE137" s="1388"/>
      <c r="DF137" s="1341"/>
      <c r="DG137" s="1341"/>
      <c r="DH137" s="1341"/>
      <c r="DI137" s="1341"/>
      <c r="DJ137" s="1341"/>
      <c r="DK137" s="1341"/>
      <c r="DL137" s="1364"/>
      <c r="DM137" s="2218"/>
      <c r="DN137" s="2219"/>
      <c r="DO137" s="1987"/>
      <c r="DP137" s="2220"/>
      <c r="DQ137" s="1382"/>
      <c r="DR137" s="1382"/>
      <c r="DS137" s="1391"/>
      <c r="DT137" s="1392"/>
      <c r="DU137" s="1393"/>
      <c r="DV137" s="1323"/>
      <c r="DW137" s="1394"/>
      <c r="DX137" s="1912"/>
      <c r="DY137" s="1394"/>
      <c r="DZ137" s="2077"/>
      <c r="EA137" s="1360"/>
      <c r="EB137" s="2090"/>
      <c r="EC137" s="1360"/>
      <c r="ED137" s="2221"/>
      <c r="EE137" s="1360"/>
      <c r="EF137" s="1396"/>
      <c r="EG137" s="2077"/>
      <c r="EH137" s="1360"/>
      <c r="EI137" s="2090"/>
      <c r="EJ137" s="1360"/>
      <c r="EK137" s="2221"/>
      <c r="EL137" s="1322"/>
      <c r="EM137" s="1379"/>
      <c r="EN137" s="1397"/>
      <c r="EO137" s="1323"/>
    </row>
    <row r="138" spans="1:174" s="1926" customFormat="1" ht="11.25" customHeight="1" x14ac:dyDescent="0.2">
      <c r="A138" s="1907"/>
      <c r="B138" s="2064"/>
      <c r="C138" s="1322"/>
      <c r="D138" s="1322"/>
      <c r="E138" s="1333"/>
      <c r="F138" s="1322"/>
      <c r="G138" s="1321"/>
      <c r="H138" s="1908"/>
      <c r="I138" s="1321"/>
      <c r="J138" s="1908"/>
      <c r="K138" s="1333"/>
      <c r="L138" s="1335"/>
      <c r="M138" s="1909"/>
      <c r="N138" s="1336"/>
      <c r="O138" s="1910"/>
      <c r="P138" s="1333"/>
      <c r="Q138" s="1332"/>
      <c r="R138" s="1911"/>
      <c r="S138" s="1912"/>
      <c r="T138" s="1337"/>
      <c r="U138" s="1338"/>
      <c r="V138" s="1913"/>
      <c r="W138" s="1914"/>
      <c r="X138" s="1915"/>
      <c r="Y138" s="1340"/>
      <c r="Z138" s="1340"/>
      <c r="AA138" s="1341"/>
      <c r="AB138" s="1916"/>
      <c r="AC138" s="1343"/>
      <c r="AD138" s="1344"/>
      <c r="AE138" s="1345"/>
      <c r="AF138" s="1346"/>
      <c r="AG138" s="1346"/>
      <c r="AH138" s="1347"/>
      <c r="AI138" s="1348"/>
      <c r="AJ138" s="1349"/>
      <c r="AK138" s="1348"/>
      <c r="AL138" s="1350"/>
      <c r="AM138" s="1351"/>
      <c r="AN138" s="1352"/>
      <c r="AO138" s="1353"/>
      <c r="AP138" s="1354"/>
      <c r="AQ138" s="1355"/>
      <c r="AR138" s="1356"/>
      <c r="AS138" s="1357"/>
      <c r="AT138" s="1358"/>
      <c r="AU138" s="1359"/>
      <c r="AV138" s="1360"/>
      <c r="AW138" s="1359"/>
      <c r="AX138" s="1334"/>
      <c r="AY138" s="1323"/>
      <c r="AZ138" s="1917"/>
      <c r="BA138" s="1362"/>
      <c r="BB138" s="1363"/>
      <c r="BC138" s="1918"/>
      <c r="BD138" s="1919"/>
      <c r="BE138" s="1919"/>
      <c r="BF138" s="1364"/>
      <c r="BG138" s="1365"/>
      <c r="BH138" s="1920"/>
      <c r="BI138" s="1921"/>
      <c r="BJ138" s="1367"/>
      <c r="BK138" s="1922"/>
      <c r="BL138" s="1367"/>
      <c r="BM138" s="1923"/>
      <c r="BN138" s="1351"/>
      <c r="BO138" s="1369"/>
      <c r="BP138" s="1370"/>
      <c r="BQ138" s="1371"/>
      <c r="BR138" s="1366"/>
      <c r="BS138" s="1359"/>
      <c r="BT138" s="1924"/>
      <c r="BU138" s="1359"/>
      <c r="BV138" s="1334"/>
      <c r="BW138" s="1373"/>
      <c r="BX138" s="1374"/>
      <c r="BY138" s="1400"/>
      <c r="BZ138" s="1364"/>
      <c r="CA138" s="1375"/>
      <c r="CB138" s="1376"/>
      <c r="CC138" s="1377"/>
      <c r="CD138" s="1341"/>
      <c r="CE138" s="1322"/>
      <c r="CF138" s="1322"/>
      <c r="CG138" s="1401"/>
      <c r="CH138" s="1322"/>
      <c r="CI138" s="1925"/>
      <c r="CJ138" s="1322"/>
      <c r="CK138" s="1379"/>
      <c r="CL138" s="1380"/>
      <c r="CM138" s="1381"/>
      <c r="CN138" s="1380"/>
      <c r="CO138" s="1382"/>
      <c r="CP138" s="1379"/>
      <c r="CQ138" s="1380"/>
      <c r="CR138" s="1381"/>
      <c r="CS138" s="1380"/>
      <c r="CT138" s="1382"/>
      <c r="CU138" s="1383"/>
      <c r="CV138" s="1384"/>
      <c r="CW138" s="1385"/>
      <c r="CX138" s="1386"/>
      <c r="CY138" s="1385"/>
      <c r="CZ138" s="1386"/>
      <c r="DA138" s="1385"/>
      <c r="DB138" s="1386"/>
      <c r="DC138" s="1387"/>
      <c r="DD138" s="1388"/>
      <c r="DE138" s="1388"/>
      <c r="DF138" s="1341"/>
      <c r="DG138" s="1341"/>
      <c r="DH138" s="1341"/>
      <c r="DI138" s="1341"/>
      <c r="DJ138" s="1341"/>
      <c r="DK138" s="1341"/>
      <c r="DL138" s="1364"/>
      <c r="DM138" s="1380"/>
      <c r="DN138" s="1389"/>
      <c r="DO138" s="1987"/>
      <c r="DP138" s="2067"/>
      <c r="DQ138" s="1382"/>
      <c r="DR138" s="1389"/>
      <c r="DS138" s="2076"/>
      <c r="DT138" s="1333"/>
      <c r="DU138" s="1393"/>
      <c r="DV138" s="1323"/>
      <c r="DW138" s="1394"/>
      <c r="DX138" s="1912"/>
      <c r="DY138" s="1394"/>
      <c r="DZ138" s="2077"/>
      <c r="EA138" s="1360"/>
      <c r="EB138" s="2078"/>
      <c r="EC138" s="1360"/>
      <c r="ED138" s="1395"/>
      <c r="EE138" s="1360"/>
      <c r="EF138" s="1396"/>
      <c r="EG138" s="2077"/>
      <c r="EH138" s="1360"/>
      <c r="EI138" s="1360"/>
      <c r="EJ138" s="1360"/>
      <c r="EK138" s="1395"/>
      <c r="EL138" s="1322"/>
      <c r="EM138" s="1379"/>
      <c r="EN138" s="1397"/>
      <c r="EO138" s="1323"/>
      <c r="EP138" s="1398"/>
      <c r="EQ138" s="1398"/>
      <c r="ER138" s="1398"/>
      <c r="ES138" s="1398"/>
      <c r="ET138" s="1398"/>
      <c r="EU138" s="1398"/>
      <c r="EV138" s="1398"/>
      <c r="EW138" s="1398"/>
      <c r="EX138" s="1398"/>
      <c r="EY138" s="1398"/>
      <c r="EZ138" s="1398"/>
      <c r="FA138" s="1398"/>
      <c r="FB138" s="1398"/>
      <c r="FC138" s="1398"/>
      <c r="FD138" s="1398"/>
      <c r="FE138" s="1398"/>
      <c r="FF138" s="1398"/>
      <c r="FG138" s="1398"/>
      <c r="FH138" s="1398"/>
      <c r="FI138" s="1398"/>
      <c r="FJ138" s="1398"/>
      <c r="FK138" s="1398"/>
      <c r="FL138" s="1398"/>
      <c r="FM138" s="1398"/>
      <c r="FN138" s="1982"/>
      <c r="FO138" s="1982"/>
      <c r="FP138" s="1982"/>
      <c r="FQ138" s="1982"/>
      <c r="FR138" s="1982"/>
    </row>
    <row r="139" spans="1:174" s="1398" customFormat="1" ht="11.25" customHeight="1" x14ac:dyDescent="0.2">
      <c r="A139" s="1907"/>
      <c r="B139" s="2064"/>
      <c r="C139" s="1322"/>
      <c r="D139" s="1322"/>
      <c r="E139" s="1333"/>
      <c r="F139" s="1322"/>
      <c r="G139" s="1321"/>
      <c r="H139" s="1908"/>
      <c r="I139" s="1321"/>
      <c r="J139" s="1908"/>
      <c r="K139" s="1333"/>
      <c r="L139" s="1335"/>
      <c r="M139" s="1909"/>
      <c r="N139" s="1336"/>
      <c r="O139" s="1910"/>
      <c r="P139" s="1333"/>
      <c r="Q139" s="1332"/>
      <c r="R139" s="1911"/>
      <c r="S139" s="1912"/>
      <c r="T139" s="1337"/>
      <c r="U139" s="1338"/>
      <c r="V139" s="1913"/>
      <c r="W139" s="1914"/>
      <c r="X139" s="1915"/>
      <c r="Y139" s="1340"/>
      <c r="Z139" s="1340"/>
      <c r="AA139" s="1341"/>
      <c r="AB139" s="1342"/>
      <c r="AC139" s="1343"/>
      <c r="AD139" s="1344"/>
      <c r="AE139" s="1345"/>
      <c r="AF139" s="1346"/>
      <c r="AG139" s="1346"/>
      <c r="AH139" s="1347"/>
      <c r="AI139" s="1348"/>
      <c r="AJ139" s="1349"/>
      <c r="AK139" s="1348"/>
      <c r="AL139" s="1350"/>
      <c r="AM139" s="1351"/>
      <c r="AN139" s="1352"/>
      <c r="AO139" s="1353"/>
      <c r="AP139" s="1354"/>
      <c r="AQ139" s="1355"/>
      <c r="AR139" s="1356"/>
      <c r="AS139" s="1357"/>
      <c r="AT139" s="1358"/>
      <c r="AU139" s="1359"/>
      <c r="AV139" s="1360"/>
      <c r="AW139" s="1359"/>
      <c r="AX139" s="1334"/>
      <c r="AY139" s="1323"/>
      <c r="AZ139" s="1361"/>
      <c r="BA139" s="1362"/>
      <c r="BB139" s="1363"/>
      <c r="BC139" s="1918"/>
      <c r="BD139" s="1919"/>
      <c r="BE139" s="1919"/>
      <c r="BF139" s="1364"/>
      <c r="BG139" s="1365"/>
      <c r="BH139" s="1920"/>
      <c r="BI139" s="1921"/>
      <c r="BJ139" s="1367"/>
      <c r="BK139" s="1922"/>
      <c r="BL139" s="1367"/>
      <c r="BM139" s="1923"/>
      <c r="BN139" s="1351"/>
      <c r="BO139" s="1369"/>
      <c r="BP139" s="1370"/>
      <c r="BQ139" s="1371"/>
      <c r="BR139" s="1366"/>
      <c r="BS139" s="1359"/>
      <c r="BT139" s="1924"/>
      <c r="BU139" s="1359"/>
      <c r="BV139" s="1334"/>
      <c r="BW139" s="1373"/>
      <c r="BX139" s="1374"/>
      <c r="BY139" s="1400"/>
      <c r="BZ139" s="1364"/>
      <c r="CA139" s="1375"/>
      <c r="CB139" s="1376"/>
      <c r="CC139" s="1377"/>
      <c r="CD139" s="1341"/>
      <c r="CE139" s="1322"/>
      <c r="CF139" s="1322"/>
      <c r="CG139" s="1401"/>
      <c r="CH139" s="1322"/>
      <c r="CI139" s="1925"/>
      <c r="CJ139" s="1322"/>
      <c r="CK139" s="1379"/>
      <c r="CL139" s="1380"/>
      <c r="CM139" s="1381"/>
      <c r="CN139" s="1380"/>
      <c r="CO139" s="1382"/>
      <c r="CP139" s="1379"/>
      <c r="CQ139" s="1380"/>
      <c r="CR139" s="1381"/>
      <c r="CS139" s="1380"/>
      <c r="CT139" s="1382"/>
      <c r="CU139" s="1383"/>
      <c r="CV139" s="1384"/>
      <c r="CW139" s="1385"/>
      <c r="CX139" s="1386"/>
      <c r="CY139" s="1385"/>
      <c r="CZ139" s="1386"/>
      <c r="DA139" s="1385"/>
      <c r="DB139" s="1386"/>
      <c r="DC139" s="1387"/>
      <c r="DD139" s="1388"/>
      <c r="DE139" s="2075"/>
      <c r="DF139" s="1341"/>
      <c r="DG139" s="1341"/>
      <c r="DH139" s="1341"/>
      <c r="DI139" s="1341"/>
      <c r="DJ139" s="1341"/>
      <c r="DK139" s="1341"/>
      <c r="DL139" s="1364"/>
      <c r="DM139" s="1380"/>
      <c r="DN139" s="1389"/>
      <c r="DO139" s="1987"/>
      <c r="DP139" s="2067"/>
      <c r="DQ139" s="1382"/>
      <c r="DR139" s="1382"/>
      <c r="DS139" s="1391"/>
      <c r="DT139" s="1392"/>
      <c r="DU139" s="1393"/>
      <c r="DV139" s="1323"/>
      <c r="DW139" s="1394"/>
      <c r="DX139" s="1912"/>
      <c r="DY139" s="1394"/>
      <c r="DZ139" s="2077"/>
      <c r="EA139" s="1360"/>
      <c r="EB139" s="2090"/>
      <c r="EC139" s="1360"/>
      <c r="ED139" s="1395"/>
      <c r="EE139" s="1360"/>
      <c r="EF139" s="1396"/>
      <c r="EG139" s="2077"/>
      <c r="EH139" s="1360"/>
      <c r="EI139" s="2090"/>
      <c r="EJ139" s="1360"/>
      <c r="EK139" s="1395"/>
      <c r="EL139" s="1322"/>
      <c r="EM139" s="1379"/>
      <c r="EN139" s="1397"/>
      <c r="EO139" s="1323"/>
      <c r="FN139" s="2222"/>
      <c r="FO139" s="2222"/>
      <c r="FP139" s="2222"/>
      <c r="FQ139" s="2222"/>
      <c r="FR139" s="2222"/>
    </row>
    <row r="140" spans="1:174" s="1398" customFormat="1" ht="11.25" customHeight="1" x14ac:dyDescent="0.2">
      <c r="A140" s="1907"/>
      <c r="B140" s="1332"/>
      <c r="C140" s="2216"/>
      <c r="D140" s="1322"/>
      <c r="E140" s="1333"/>
      <c r="F140" s="1322"/>
      <c r="G140" s="1321"/>
      <c r="H140" s="1908"/>
      <c r="I140" s="1321"/>
      <c r="J140" s="1908"/>
      <c r="K140" s="1333"/>
      <c r="L140" s="1335"/>
      <c r="M140" s="1909"/>
      <c r="N140" s="1336"/>
      <c r="O140" s="1910"/>
      <c r="P140" s="1333"/>
      <c r="Q140" s="1332"/>
      <c r="R140" s="1911"/>
      <c r="S140" s="1912"/>
      <c r="T140" s="1337"/>
      <c r="U140" s="1338"/>
      <c r="V140" s="1913"/>
      <c r="W140" s="1914"/>
      <c r="X140" s="1915"/>
      <c r="Y140" s="1340"/>
      <c r="Z140" s="1340"/>
      <c r="AA140" s="1341"/>
      <c r="AB140" s="1916"/>
      <c r="AC140" s="1343"/>
      <c r="AD140" s="1344"/>
      <c r="AE140" s="1345"/>
      <c r="AF140" s="1346"/>
      <c r="AG140" s="1346"/>
      <c r="AH140" s="1347"/>
      <c r="AI140" s="1348"/>
      <c r="AJ140" s="1349"/>
      <c r="AK140" s="1348"/>
      <c r="AL140" s="1350"/>
      <c r="AM140" s="1351"/>
      <c r="AN140" s="1352"/>
      <c r="AO140" s="1353"/>
      <c r="AP140" s="1354"/>
      <c r="AQ140" s="1355"/>
      <c r="AR140" s="1356"/>
      <c r="AS140" s="1357"/>
      <c r="AT140" s="1358"/>
      <c r="AU140" s="1359"/>
      <c r="AV140" s="1360"/>
      <c r="AW140" s="1359"/>
      <c r="AX140" s="1334"/>
      <c r="AY140" s="1323"/>
      <c r="AZ140" s="1917"/>
      <c r="BA140" s="1362"/>
      <c r="BB140" s="1363"/>
      <c r="BC140" s="1918"/>
      <c r="BD140" s="1919"/>
      <c r="BE140" s="1919"/>
      <c r="BF140" s="1364"/>
      <c r="BG140" s="1365"/>
      <c r="BH140" s="1920"/>
      <c r="BI140" s="1921"/>
      <c r="BJ140" s="1367"/>
      <c r="BK140" s="1922"/>
      <c r="BL140" s="1367"/>
      <c r="BM140" s="1923"/>
      <c r="BN140" s="1351"/>
      <c r="BO140" s="1369"/>
      <c r="BP140" s="1370"/>
      <c r="BQ140" s="1371"/>
      <c r="BR140" s="1366"/>
      <c r="BS140" s="1359"/>
      <c r="BT140" s="1924"/>
      <c r="BU140" s="1359"/>
      <c r="BV140" s="1334"/>
      <c r="BW140" s="1373"/>
      <c r="BX140" s="1374"/>
      <c r="BY140" s="1400"/>
      <c r="BZ140" s="1364"/>
      <c r="CA140" s="1375"/>
      <c r="CB140" s="1376"/>
      <c r="CC140" s="1377"/>
      <c r="CD140" s="1341"/>
      <c r="CE140" s="1322"/>
      <c r="CF140" s="1322"/>
      <c r="CG140" s="1401"/>
      <c r="CH140" s="1322"/>
      <c r="CI140" s="1925"/>
      <c r="CJ140" s="1322"/>
      <c r="CK140" s="1379"/>
      <c r="CL140" s="1380"/>
      <c r="CM140" s="1381"/>
      <c r="CN140" s="1380"/>
      <c r="CO140" s="1382"/>
      <c r="CP140" s="1379"/>
      <c r="CQ140" s="1380"/>
      <c r="CR140" s="1381"/>
      <c r="CS140" s="1380"/>
      <c r="CT140" s="1382"/>
      <c r="CU140" s="1383"/>
      <c r="CV140" s="1384"/>
      <c r="CW140" s="1385"/>
      <c r="CX140" s="1386"/>
      <c r="CY140" s="1385"/>
      <c r="CZ140" s="1386"/>
      <c r="DA140" s="1385"/>
      <c r="DB140" s="1386"/>
      <c r="DC140" s="1387"/>
      <c r="DD140" s="1388"/>
      <c r="DE140" s="1388"/>
      <c r="DF140" s="1341"/>
      <c r="DG140" s="1341"/>
      <c r="DH140" s="1341"/>
      <c r="DI140" s="1341"/>
      <c r="DJ140" s="1341"/>
      <c r="DK140" s="1341"/>
      <c r="DL140" s="1364"/>
      <c r="DM140" s="1380"/>
      <c r="DN140" s="1389"/>
      <c r="DO140" s="1987"/>
      <c r="DP140" s="2067"/>
      <c r="DQ140" s="1382"/>
      <c r="DR140" s="1389"/>
      <c r="DS140" s="2076"/>
      <c r="DT140" s="1333"/>
      <c r="DU140" s="1393"/>
      <c r="DV140" s="1323"/>
      <c r="DW140" s="1394"/>
      <c r="DX140" s="1912"/>
      <c r="DY140" s="1394"/>
      <c r="DZ140" s="2077"/>
      <c r="EA140" s="1360"/>
      <c r="EB140" s="1360"/>
      <c r="EC140" s="1360"/>
      <c r="ED140" s="1395"/>
      <c r="EE140" s="1360"/>
      <c r="EF140" s="1396"/>
      <c r="EG140" s="2077"/>
      <c r="EH140" s="1360"/>
      <c r="EI140" s="1360"/>
      <c r="EJ140" s="1360"/>
      <c r="EK140" s="1395"/>
      <c r="EL140" s="1322"/>
      <c r="EM140" s="1379"/>
      <c r="EN140" s="1397"/>
      <c r="EO140" s="1323"/>
    </row>
    <row r="141" spans="1:174" s="1925" customFormat="1" ht="11.25" customHeight="1" x14ac:dyDescent="0.2">
      <c r="A141" s="1907"/>
      <c r="B141" s="2064"/>
      <c r="C141" s="1322"/>
      <c r="D141" s="1322"/>
      <c r="E141" s="1333"/>
      <c r="F141" s="1322"/>
      <c r="G141" s="1321"/>
      <c r="H141" s="1908"/>
      <c r="I141" s="1321"/>
      <c r="J141" s="1908"/>
      <c r="K141" s="1333"/>
      <c r="L141" s="1335"/>
      <c r="M141" s="1909"/>
      <c r="N141" s="1336"/>
      <c r="O141" s="1910"/>
      <c r="P141" s="1333"/>
      <c r="Q141" s="1332"/>
      <c r="R141" s="1911"/>
      <c r="S141" s="1912"/>
      <c r="T141" s="1337"/>
      <c r="U141" s="1338"/>
      <c r="V141" s="1913"/>
      <c r="W141" s="1914"/>
      <c r="X141" s="1915"/>
      <c r="Y141" s="1340"/>
      <c r="Z141" s="1340"/>
      <c r="AA141" s="1341"/>
      <c r="AB141" s="1916"/>
      <c r="AC141" s="1343"/>
      <c r="AD141" s="1344"/>
      <c r="AE141" s="1345"/>
      <c r="AF141" s="1346"/>
      <c r="AG141" s="1346"/>
      <c r="AH141" s="1347"/>
      <c r="AI141" s="1348"/>
      <c r="AJ141" s="1349"/>
      <c r="AK141" s="1348"/>
      <c r="AL141" s="1350"/>
      <c r="AM141" s="1351"/>
      <c r="AN141" s="1352"/>
      <c r="AO141" s="1353"/>
      <c r="AP141" s="1354"/>
      <c r="AQ141" s="1355"/>
      <c r="AR141" s="1356"/>
      <c r="AS141" s="1357"/>
      <c r="AT141" s="1358"/>
      <c r="AU141" s="1359"/>
      <c r="AV141" s="1360"/>
      <c r="AW141" s="1359"/>
      <c r="AX141" s="1334"/>
      <c r="AY141" s="1323"/>
      <c r="AZ141" s="1917"/>
      <c r="BA141" s="1362"/>
      <c r="BB141" s="1363"/>
      <c r="BC141" s="1918"/>
      <c r="BD141" s="1919"/>
      <c r="BE141" s="1919"/>
      <c r="BF141" s="1364"/>
      <c r="BG141" s="1365"/>
      <c r="BH141" s="1920"/>
      <c r="BI141" s="1921"/>
      <c r="BJ141" s="1367"/>
      <c r="BK141" s="1922"/>
      <c r="BL141" s="1367"/>
      <c r="BM141" s="1923"/>
      <c r="BN141" s="1351"/>
      <c r="BO141" s="1369"/>
      <c r="BP141" s="1370"/>
      <c r="BQ141" s="1371"/>
      <c r="BR141" s="1366"/>
      <c r="BS141" s="1359"/>
      <c r="BT141" s="1924"/>
      <c r="BU141" s="1359"/>
      <c r="BV141" s="1334"/>
      <c r="BW141" s="1373"/>
      <c r="BX141" s="1374"/>
      <c r="BY141" s="1400"/>
      <c r="BZ141" s="1364"/>
      <c r="CA141" s="1375"/>
      <c r="CB141" s="1376"/>
      <c r="CC141" s="1377"/>
      <c r="CD141" s="1341"/>
      <c r="CE141" s="1322"/>
      <c r="CF141" s="1322"/>
      <c r="CG141" s="1401"/>
      <c r="CH141" s="1322"/>
      <c r="CJ141" s="1322"/>
      <c r="CK141" s="1379"/>
      <c r="CL141" s="1380"/>
      <c r="CM141" s="1381"/>
      <c r="CN141" s="1380"/>
      <c r="CO141" s="1382"/>
      <c r="CP141" s="1379"/>
      <c r="CQ141" s="1380"/>
      <c r="CR141" s="1381"/>
      <c r="CS141" s="1380"/>
      <c r="CT141" s="1382"/>
      <c r="CU141" s="1383"/>
      <c r="CV141" s="1384"/>
      <c r="CW141" s="1385"/>
      <c r="CX141" s="1386"/>
      <c r="CY141" s="1385"/>
      <c r="CZ141" s="1386"/>
      <c r="DA141" s="1385"/>
      <c r="DB141" s="1386"/>
      <c r="DC141" s="1387"/>
      <c r="DD141" s="1388"/>
      <c r="DE141" s="1388"/>
      <c r="DF141" s="1341"/>
      <c r="DG141" s="1341"/>
      <c r="DH141" s="1341"/>
      <c r="DI141" s="1341"/>
      <c r="DJ141" s="1341"/>
      <c r="DK141" s="1341"/>
      <c r="DL141" s="1364"/>
      <c r="DM141" s="1380"/>
      <c r="DN141" s="1389"/>
      <c r="DO141" s="1987"/>
      <c r="DP141" s="2067"/>
      <c r="DQ141" s="1382"/>
      <c r="DR141" s="1389"/>
      <c r="DS141" s="2076"/>
      <c r="DT141" s="1333"/>
      <c r="DU141" s="1393"/>
      <c r="DV141" s="1323"/>
      <c r="DW141" s="1394"/>
      <c r="DX141" s="1912"/>
      <c r="DY141" s="1394"/>
      <c r="DZ141" s="2077"/>
      <c r="EA141" s="1360"/>
      <c r="EB141" s="2078"/>
      <c r="EC141" s="1360"/>
      <c r="ED141" s="1395"/>
      <c r="EE141" s="1360"/>
      <c r="EF141" s="1396"/>
      <c r="EG141" s="1358"/>
      <c r="EH141" s="1360"/>
      <c r="EI141" s="2078"/>
      <c r="EJ141" s="1360"/>
      <c r="EK141" s="1395"/>
      <c r="EL141" s="1322"/>
      <c r="EM141" s="1379"/>
      <c r="EN141" s="1397"/>
      <c r="EO141" s="1323"/>
    </row>
    <row r="142" spans="1:174" s="2118" customFormat="1" ht="11.25" customHeight="1" x14ac:dyDescent="0.2">
      <c r="A142" s="1907"/>
      <c r="B142" s="1332"/>
      <c r="C142" s="2216"/>
      <c r="D142" s="1322"/>
      <c r="E142" s="1333"/>
      <c r="F142" s="1322"/>
      <c r="G142" s="1321"/>
      <c r="H142" s="1908"/>
      <c r="I142" s="1321"/>
      <c r="J142" s="1908"/>
      <c r="K142" s="1333"/>
      <c r="L142" s="1335"/>
      <c r="M142" s="1909"/>
      <c r="N142" s="1336"/>
      <c r="O142" s="1910"/>
      <c r="P142" s="1333"/>
      <c r="Q142" s="1332"/>
      <c r="R142" s="1911"/>
      <c r="S142" s="1912"/>
      <c r="T142" s="1337"/>
      <c r="U142" s="1338"/>
      <c r="V142" s="1913"/>
      <c r="W142" s="1914"/>
      <c r="X142" s="1915"/>
      <c r="Y142" s="1340"/>
      <c r="Z142" s="1340"/>
      <c r="AA142" s="1341"/>
      <c r="AB142" s="1916"/>
      <c r="AC142" s="1343"/>
      <c r="AD142" s="1344"/>
      <c r="AE142" s="1345"/>
      <c r="AF142" s="1346"/>
      <c r="AG142" s="1346"/>
      <c r="AH142" s="1347"/>
      <c r="AI142" s="1348"/>
      <c r="AJ142" s="1349"/>
      <c r="AK142" s="1348"/>
      <c r="AL142" s="1350"/>
      <c r="AM142" s="1351"/>
      <c r="AN142" s="1352"/>
      <c r="AO142" s="1353"/>
      <c r="AP142" s="1354"/>
      <c r="AQ142" s="1355"/>
      <c r="AR142" s="1356"/>
      <c r="AS142" s="1357"/>
      <c r="AT142" s="1358"/>
      <c r="AU142" s="2109"/>
      <c r="AV142" s="1360"/>
      <c r="AW142" s="1359"/>
      <c r="AX142" s="1334"/>
      <c r="AY142" s="1323"/>
      <c r="AZ142" s="1361"/>
      <c r="BA142" s="1362"/>
      <c r="BB142" s="1363"/>
      <c r="BC142" s="1918"/>
      <c r="BD142" s="1919"/>
      <c r="BE142" s="1919"/>
      <c r="BF142" s="1364"/>
      <c r="BG142" s="1365"/>
      <c r="BH142" s="1920"/>
      <c r="BI142" s="1921"/>
      <c r="BJ142" s="1367"/>
      <c r="BK142" s="1922"/>
      <c r="BL142" s="1367"/>
      <c r="BM142" s="1923"/>
      <c r="BN142" s="1351"/>
      <c r="BO142" s="1369"/>
      <c r="BP142" s="1370"/>
      <c r="BQ142" s="1371"/>
      <c r="BR142" s="1366"/>
      <c r="BS142" s="1359"/>
      <c r="BT142" s="1924"/>
      <c r="BU142" s="1359"/>
      <c r="BV142" s="1334"/>
      <c r="BW142" s="1373"/>
      <c r="BX142" s="1374"/>
      <c r="BY142" s="1400"/>
      <c r="BZ142" s="1364"/>
      <c r="CA142" s="1375"/>
      <c r="CB142" s="1376"/>
      <c r="CC142" s="1377"/>
      <c r="CD142" s="1341"/>
      <c r="CE142" s="1322"/>
      <c r="CF142" s="1322"/>
      <c r="CG142" s="1401"/>
      <c r="CH142" s="1322"/>
      <c r="CI142" s="1925"/>
      <c r="CJ142" s="1322"/>
      <c r="CK142" s="1379"/>
      <c r="CL142" s="1380"/>
      <c r="CM142" s="1381"/>
      <c r="CN142" s="1380"/>
      <c r="CO142" s="1382"/>
      <c r="CP142" s="1379"/>
      <c r="CQ142" s="1380"/>
      <c r="CR142" s="1381"/>
      <c r="CS142" s="1380"/>
      <c r="CT142" s="1382"/>
      <c r="CU142" s="1383"/>
      <c r="CV142" s="1384"/>
      <c r="CW142" s="1385"/>
      <c r="CX142" s="1386"/>
      <c r="CY142" s="1385"/>
      <c r="CZ142" s="1386"/>
      <c r="DA142" s="1385"/>
      <c r="DB142" s="1386"/>
      <c r="DC142" s="1387"/>
      <c r="DD142" s="1388"/>
      <c r="DE142" s="1388"/>
      <c r="DF142" s="1341"/>
      <c r="DG142" s="1341"/>
      <c r="DH142" s="1341"/>
      <c r="DI142" s="1341"/>
      <c r="DJ142" s="1341"/>
      <c r="DK142" s="1341"/>
      <c r="DL142" s="1364"/>
      <c r="DM142" s="2223"/>
      <c r="DN142" s="2224"/>
      <c r="DO142" s="1987"/>
      <c r="DP142" s="2223"/>
      <c r="DQ142" s="1382"/>
      <c r="DR142" s="1382"/>
      <c r="DS142" s="1391"/>
      <c r="DT142" s="1392"/>
      <c r="DU142" s="1393"/>
      <c r="DV142" s="1323"/>
      <c r="DW142" s="1394"/>
      <c r="DX142" s="1912"/>
      <c r="DY142" s="1394"/>
      <c r="DZ142" s="2111"/>
      <c r="EA142" s="1360"/>
      <c r="EB142" s="2078"/>
      <c r="EC142" s="1360"/>
      <c r="ED142" s="1395"/>
      <c r="EE142" s="1360"/>
      <c r="EF142" s="1396"/>
      <c r="EG142" s="2111"/>
      <c r="EH142" s="1360"/>
      <c r="EI142" s="2078"/>
      <c r="EJ142" s="1360"/>
      <c r="EK142" s="1395"/>
      <c r="EL142" s="1322"/>
      <c r="EM142" s="1379"/>
      <c r="EN142" s="1397"/>
      <c r="EO142" s="1323"/>
      <c r="EP142" s="1398"/>
      <c r="EQ142" s="1398"/>
      <c r="ER142" s="1398"/>
      <c r="ES142" s="1398"/>
      <c r="ET142" s="1398"/>
      <c r="EU142" s="1398"/>
      <c r="EV142" s="1398"/>
      <c r="EW142" s="1398"/>
      <c r="EX142" s="1398"/>
      <c r="EY142" s="1398"/>
      <c r="EZ142" s="1398"/>
      <c r="FA142" s="1398"/>
      <c r="FB142" s="1398"/>
      <c r="FC142" s="1398"/>
      <c r="FD142" s="1398"/>
      <c r="FE142" s="1398"/>
      <c r="FF142" s="1398"/>
      <c r="FG142" s="1398"/>
      <c r="FH142" s="1398"/>
      <c r="FI142" s="1398"/>
      <c r="FJ142" s="1398"/>
      <c r="FK142" s="1398"/>
      <c r="FL142" s="1398"/>
      <c r="FM142" s="1398"/>
      <c r="FN142" s="1398"/>
      <c r="FO142" s="1398"/>
      <c r="FP142" s="1398"/>
      <c r="FQ142" s="1398"/>
      <c r="FR142" s="1398"/>
    </row>
    <row r="143" spans="1:174" s="2226" customFormat="1" ht="11.25" customHeight="1" x14ac:dyDescent="0.2">
      <c r="A143" s="1907"/>
      <c r="B143" s="2064"/>
      <c r="C143" s="1322"/>
      <c r="D143" s="1322"/>
      <c r="E143" s="1333"/>
      <c r="F143" s="1322"/>
      <c r="G143" s="1321"/>
      <c r="H143" s="1908"/>
      <c r="I143" s="1321"/>
      <c r="J143" s="1908"/>
      <c r="K143" s="1333"/>
      <c r="L143" s="1335"/>
      <c r="M143" s="1909"/>
      <c r="N143" s="1336"/>
      <c r="O143" s="1910"/>
      <c r="P143" s="1333"/>
      <c r="Q143" s="1332"/>
      <c r="R143" s="1911"/>
      <c r="S143" s="1912"/>
      <c r="T143" s="1337"/>
      <c r="U143" s="1338"/>
      <c r="V143" s="1913"/>
      <c r="W143" s="1914"/>
      <c r="X143" s="1915"/>
      <c r="Y143" s="1340"/>
      <c r="Z143" s="1340"/>
      <c r="AA143" s="1341"/>
      <c r="AB143" s="1916"/>
      <c r="AC143" s="1343"/>
      <c r="AD143" s="1344"/>
      <c r="AE143" s="1345"/>
      <c r="AF143" s="1346"/>
      <c r="AG143" s="1346"/>
      <c r="AH143" s="1347"/>
      <c r="AI143" s="1348"/>
      <c r="AJ143" s="1349"/>
      <c r="AK143" s="1348"/>
      <c r="AL143" s="1350"/>
      <c r="AM143" s="1351"/>
      <c r="AN143" s="1352"/>
      <c r="AO143" s="1353"/>
      <c r="AP143" s="1354"/>
      <c r="AQ143" s="1355"/>
      <c r="AR143" s="1356"/>
      <c r="AS143" s="1357"/>
      <c r="AT143" s="1358"/>
      <c r="AU143" s="1359"/>
      <c r="AV143" s="1360"/>
      <c r="AW143" s="1359"/>
      <c r="AX143" s="1334"/>
      <c r="AY143" s="1323"/>
      <c r="AZ143" s="1917"/>
      <c r="BA143" s="1362"/>
      <c r="BB143" s="1363"/>
      <c r="BC143" s="1918"/>
      <c r="BD143" s="1919"/>
      <c r="BE143" s="1919"/>
      <c r="BF143" s="1364"/>
      <c r="BG143" s="1365"/>
      <c r="BH143" s="1920"/>
      <c r="BI143" s="1921"/>
      <c r="BJ143" s="1367"/>
      <c r="BK143" s="1922"/>
      <c r="BL143" s="1367"/>
      <c r="BM143" s="1923"/>
      <c r="BN143" s="1351"/>
      <c r="BO143" s="1369"/>
      <c r="BP143" s="1370"/>
      <c r="BQ143" s="1371"/>
      <c r="BR143" s="1366"/>
      <c r="BS143" s="1359"/>
      <c r="BT143" s="1924"/>
      <c r="BU143" s="1359"/>
      <c r="BV143" s="1334"/>
      <c r="BW143" s="1373"/>
      <c r="BX143" s="1374"/>
      <c r="BY143" s="1400"/>
      <c r="BZ143" s="1364"/>
      <c r="CA143" s="1375"/>
      <c r="CB143" s="1376"/>
      <c r="CC143" s="1377"/>
      <c r="CD143" s="1341"/>
      <c r="CE143" s="1322"/>
      <c r="CF143" s="1322"/>
      <c r="CG143" s="1401"/>
      <c r="CH143" s="1322"/>
      <c r="CI143" s="1925"/>
      <c r="CJ143" s="1322"/>
      <c r="CK143" s="1379"/>
      <c r="CL143" s="1380"/>
      <c r="CM143" s="1381"/>
      <c r="CN143" s="1380"/>
      <c r="CO143" s="1382"/>
      <c r="CP143" s="1379"/>
      <c r="CQ143" s="1380"/>
      <c r="CR143" s="1381"/>
      <c r="CS143" s="1380"/>
      <c r="CT143" s="1382"/>
      <c r="CU143" s="1383"/>
      <c r="CV143" s="1384"/>
      <c r="CW143" s="1385"/>
      <c r="CX143" s="1386"/>
      <c r="CY143" s="1385"/>
      <c r="CZ143" s="1386"/>
      <c r="DA143" s="1385"/>
      <c r="DB143" s="1386"/>
      <c r="DC143" s="1387"/>
      <c r="DD143" s="1388"/>
      <c r="DE143" s="1388"/>
      <c r="DF143" s="1341"/>
      <c r="DG143" s="1341"/>
      <c r="DH143" s="1341"/>
      <c r="DI143" s="1341"/>
      <c r="DJ143" s="1341"/>
      <c r="DK143" s="1341"/>
      <c r="DL143" s="1364"/>
      <c r="DM143" s="1380"/>
      <c r="DN143" s="1389"/>
      <c r="DO143" s="1987"/>
      <c r="DP143" s="2067"/>
      <c r="DQ143" s="1382"/>
      <c r="DR143" s="1389"/>
      <c r="DS143" s="2076"/>
      <c r="DT143" s="1333"/>
      <c r="DU143" s="1393"/>
      <c r="DV143" s="1323"/>
      <c r="DW143" s="1394"/>
      <c r="DX143" s="1912"/>
      <c r="DY143" s="1394"/>
      <c r="DZ143" s="2225"/>
      <c r="EA143" s="1360"/>
      <c r="EB143" s="1360"/>
      <c r="EC143" s="1360"/>
      <c r="ED143" s="1395"/>
      <c r="EE143" s="1360"/>
      <c r="EF143" s="1396"/>
      <c r="EG143" s="1358"/>
      <c r="EH143" s="1360"/>
      <c r="EI143" s="1360"/>
      <c r="EJ143" s="1360"/>
      <c r="EK143" s="1395"/>
      <c r="EL143" s="1322"/>
      <c r="EM143" s="1379"/>
      <c r="EN143" s="1397"/>
      <c r="EO143" s="1323"/>
      <c r="EP143" s="1398"/>
      <c r="EQ143" s="1398"/>
      <c r="ER143" s="1398"/>
      <c r="ES143" s="1398"/>
      <c r="ET143" s="1398"/>
      <c r="EU143" s="1398"/>
      <c r="EV143" s="1398"/>
      <c r="EW143" s="1398"/>
      <c r="EX143" s="1398"/>
      <c r="EY143" s="1398"/>
      <c r="EZ143" s="1398"/>
      <c r="FA143" s="1398"/>
      <c r="FB143" s="1398"/>
      <c r="FC143" s="1398"/>
      <c r="FD143" s="1398"/>
      <c r="FE143" s="1398"/>
      <c r="FF143" s="1398"/>
      <c r="FG143" s="1398"/>
      <c r="FH143" s="1398"/>
      <c r="FI143" s="1398"/>
      <c r="FJ143" s="1398"/>
      <c r="FK143" s="1398"/>
      <c r="FL143" s="1398"/>
      <c r="FM143" s="1398"/>
      <c r="FN143" s="1398"/>
      <c r="FO143" s="1398"/>
      <c r="FP143" s="1398"/>
      <c r="FQ143" s="1398"/>
      <c r="FR143" s="1398"/>
    </row>
    <row r="144" spans="1:174" s="1398" customFormat="1" ht="11.25" customHeight="1" x14ac:dyDescent="0.2">
      <c r="A144" s="1907"/>
      <c r="B144" s="1332"/>
      <c r="C144" s="2216"/>
      <c r="D144" s="1322"/>
      <c r="E144" s="1333"/>
      <c r="F144" s="1322"/>
      <c r="G144" s="1321"/>
      <c r="H144" s="1908"/>
      <c r="I144" s="1321"/>
      <c r="J144" s="1908"/>
      <c r="K144" s="1333"/>
      <c r="L144" s="1335"/>
      <c r="M144" s="1909"/>
      <c r="N144" s="1336"/>
      <c r="O144" s="1910"/>
      <c r="P144" s="1333"/>
      <c r="Q144" s="1332"/>
      <c r="R144" s="1911"/>
      <c r="S144" s="1912"/>
      <c r="T144" s="1337"/>
      <c r="U144" s="1338"/>
      <c r="V144" s="1913"/>
      <c r="W144" s="1914"/>
      <c r="X144" s="1915"/>
      <c r="Y144" s="1340"/>
      <c r="Z144" s="1340"/>
      <c r="AA144" s="1341"/>
      <c r="AB144" s="1916"/>
      <c r="AC144" s="1343"/>
      <c r="AD144" s="1344"/>
      <c r="AE144" s="1345"/>
      <c r="AF144" s="1346"/>
      <c r="AG144" s="1346"/>
      <c r="AH144" s="1347"/>
      <c r="AI144" s="1348"/>
      <c r="AJ144" s="1349"/>
      <c r="AK144" s="1348"/>
      <c r="AL144" s="1350"/>
      <c r="AM144" s="1351"/>
      <c r="AN144" s="1352"/>
      <c r="AO144" s="1353"/>
      <c r="AP144" s="1354"/>
      <c r="AQ144" s="1355"/>
      <c r="AR144" s="1356"/>
      <c r="AS144" s="1357"/>
      <c r="AT144" s="1358"/>
      <c r="AU144" s="1359"/>
      <c r="AV144" s="1360"/>
      <c r="AW144" s="1359"/>
      <c r="AX144" s="1334"/>
      <c r="AY144" s="1323"/>
      <c r="AZ144" s="1917"/>
      <c r="BA144" s="1362"/>
      <c r="BB144" s="1363"/>
      <c r="BC144" s="1918"/>
      <c r="BD144" s="1919"/>
      <c r="BE144" s="1919"/>
      <c r="BF144" s="1364"/>
      <c r="BG144" s="1365"/>
      <c r="BH144" s="1920"/>
      <c r="BI144" s="1921"/>
      <c r="BJ144" s="1367"/>
      <c r="BK144" s="1922"/>
      <c r="BL144" s="1367"/>
      <c r="BM144" s="1923"/>
      <c r="BN144" s="1351"/>
      <c r="BO144" s="1369"/>
      <c r="BP144" s="1370"/>
      <c r="BQ144" s="1371"/>
      <c r="BR144" s="1366"/>
      <c r="BS144" s="1359"/>
      <c r="BT144" s="1924"/>
      <c r="BU144" s="1359"/>
      <c r="BV144" s="1334"/>
      <c r="BW144" s="1373"/>
      <c r="BX144" s="1374"/>
      <c r="BY144" s="1400"/>
      <c r="BZ144" s="1364"/>
      <c r="CA144" s="1375"/>
      <c r="CB144" s="1376"/>
      <c r="CC144" s="1377"/>
      <c r="CD144" s="1341"/>
      <c r="CE144" s="1322"/>
      <c r="CF144" s="1322"/>
      <c r="CG144" s="1401"/>
      <c r="CH144" s="1322"/>
      <c r="CI144" s="1925"/>
      <c r="CJ144" s="1322"/>
      <c r="CK144" s="1379"/>
      <c r="CL144" s="1380"/>
      <c r="CM144" s="1381"/>
      <c r="CN144" s="1380"/>
      <c r="CO144" s="1382"/>
      <c r="CP144" s="1379"/>
      <c r="CQ144" s="1380"/>
      <c r="CR144" s="1381"/>
      <c r="CS144" s="1380"/>
      <c r="CT144" s="1382"/>
      <c r="CU144" s="1383"/>
      <c r="CV144" s="1384"/>
      <c r="CW144" s="1385"/>
      <c r="CX144" s="1386"/>
      <c r="CY144" s="1385"/>
      <c r="CZ144" s="1386"/>
      <c r="DA144" s="1385"/>
      <c r="DB144" s="1386"/>
      <c r="DC144" s="1387"/>
      <c r="DD144" s="1388"/>
      <c r="DE144" s="1388"/>
      <c r="DF144" s="1341"/>
      <c r="DG144" s="1341"/>
      <c r="DH144" s="1341"/>
      <c r="DI144" s="1341"/>
      <c r="DJ144" s="1341"/>
      <c r="DK144" s="1341"/>
      <c r="DL144" s="1364"/>
      <c r="DM144" s="1380"/>
      <c r="DN144" s="1389"/>
      <c r="DO144" s="1987"/>
      <c r="DP144" s="2067"/>
      <c r="DQ144" s="1382"/>
      <c r="DR144" s="1382"/>
      <c r="DS144" s="1391"/>
      <c r="DT144" s="1392"/>
      <c r="DU144" s="1393"/>
      <c r="DV144" s="1323"/>
      <c r="DW144" s="1394"/>
      <c r="DX144" s="1912"/>
      <c r="DY144" s="1394"/>
      <c r="DZ144" s="1358"/>
      <c r="EA144" s="1360"/>
      <c r="EB144" s="1360"/>
      <c r="EC144" s="1360"/>
      <c r="ED144" s="1395"/>
      <c r="EE144" s="1360"/>
      <c r="EF144" s="1396"/>
      <c r="EG144" s="1358"/>
      <c r="EH144" s="1360"/>
      <c r="EI144" s="1360"/>
      <c r="EJ144" s="1360"/>
      <c r="EK144" s="1395"/>
      <c r="EL144" s="1322"/>
      <c r="EM144" s="1379"/>
      <c r="EN144" s="1397"/>
      <c r="EO144" s="1323"/>
    </row>
    <row r="145" spans="1:174" s="1398" customFormat="1" ht="11.25" customHeight="1" x14ac:dyDescent="0.2">
      <c r="A145" s="1907"/>
      <c r="B145" s="2064"/>
      <c r="C145" s="1322"/>
      <c r="D145" s="1322"/>
      <c r="E145" s="1333"/>
      <c r="F145" s="1322"/>
      <c r="G145" s="1321"/>
      <c r="H145" s="1908"/>
      <c r="I145" s="1321"/>
      <c r="J145" s="1908"/>
      <c r="K145" s="1333"/>
      <c r="L145" s="1335"/>
      <c r="M145" s="1909"/>
      <c r="N145" s="1336"/>
      <c r="O145" s="1910"/>
      <c r="P145" s="1333"/>
      <c r="Q145" s="1332"/>
      <c r="R145" s="1911"/>
      <c r="S145" s="1912"/>
      <c r="T145" s="1337"/>
      <c r="U145" s="1338"/>
      <c r="V145" s="1913"/>
      <c r="W145" s="1914"/>
      <c r="X145" s="1915"/>
      <c r="Y145" s="1340"/>
      <c r="Z145" s="1340"/>
      <c r="AA145" s="1341"/>
      <c r="AB145" s="1916"/>
      <c r="AC145" s="1343"/>
      <c r="AD145" s="1344"/>
      <c r="AE145" s="1345"/>
      <c r="AF145" s="1346"/>
      <c r="AG145" s="1346"/>
      <c r="AH145" s="1347"/>
      <c r="AI145" s="1348"/>
      <c r="AJ145" s="2227"/>
      <c r="AK145" s="1348"/>
      <c r="AL145" s="1350"/>
      <c r="AM145" s="1351"/>
      <c r="AN145" s="1352"/>
      <c r="AO145" s="1353"/>
      <c r="AP145" s="1354"/>
      <c r="AQ145" s="1355"/>
      <c r="AR145" s="1356"/>
      <c r="AS145" s="1357"/>
      <c r="AT145" s="1358"/>
      <c r="AU145" s="1359"/>
      <c r="AV145" s="1360"/>
      <c r="AW145" s="1359"/>
      <c r="AX145" s="2029"/>
      <c r="AY145" s="1323"/>
      <c r="AZ145" s="1917"/>
      <c r="BA145" s="1362"/>
      <c r="BB145" s="1363"/>
      <c r="BC145" s="1918"/>
      <c r="BD145" s="1919"/>
      <c r="BE145" s="1919"/>
      <c r="BF145" s="1364"/>
      <c r="BG145" s="1365"/>
      <c r="BH145" s="1920"/>
      <c r="BI145" s="1921"/>
      <c r="BJ145" s="1367"/>
      <c r="BK145" s="1922"/>
      <c r="BL145" s="1367"/>
      <c r="BM145" s="1923"/>
      <c r="BN145" s="1351"/>
      <c r="BO145" s="1369"/>
      <c r="BP145" s="1370"/>
      <c r="BQ145" s="1371"/>
      <c r="BR145" s="1366"/>
      <c r="BS145" s="1359"/>
      <c r="BT145" s="1924"/>
      <c r="BU145" s="1359"/>
      <c r="BV145" s="1334"/>
      <c r="BW145" s="1373"/>
      <c r="BX145" s="1374"/>
      <c r="BY145" s="1400"/>
      <c r="BZ145" s="1364"/>
      <c r="CA145" s="1375"/>
      <c r="CB145" s="1376"/>
      <c r="CC145" s="1377"/>
      <c r="CD145" s="1341"/>
      <c r="CE145" s="1322"/>
      <c r="CF145" s="1322"/>
      <c r="CG145" s="1401"/>
      <c r="CH145" s="1322"/>
      <c r="CI145" s="1322"/>
      <c r="CJ145" s="1322"/>
      <c r="CK145" s="1379"/>
      <c r="CL145" s="1380"/>
      <c r="CM145" s="1381"/>
      <c r="CN145" s="1380"/>
      <c r="CO145" s="1382"/>
      <c r="CP145" s="1379"/>
      <c r="CQ145" s="1380"/>
      <c r="CR145" s="1381"/>
      <c r="CS145" s="1380"/>
      <c r="CT145" s="1382"/>
      <c r="CU145" s="1383"/>
      <c r="CV145" s="1384"/>
      <c r="CW145" s="1385"/>
      <c r="CX145" s="1386"/>
      <c r="CY145" s="1385"/>
      <c r="CZ145" s="1386"/>
      <c r="DA145" s="1385"/>
      <c r="DB145" s="1386"/>
      <c r="DC145" s="1387"/>
      <c r="DD145" s="1388"/>
      <c r="DE145" s="1388"/>
      <c r="DF145" s="1341"/>
      <c r="DG145" s="1341"/>
      <c r="DH145" s="1341"/>
      <c r="DI145" s="1341"/>
      <c r="DJ145" s="1341"/>
      <c r="DK145" s="1341"/>
      <c r="DL145" s="1364"/>
      <c r="DM145" s="1380"/>
      <c r="DN145" s="1389"/>
      <c r="DO145" s="1987"/>
      <c r="DP145" s="2067"/>
      <c r="DQ145" s="1382"/>
      <c r="DR145" s="1382"/>
      <c r="DS145" s="1391"/>
      <c r="DT145" s="1392"/>
      <c r="DU145" s="1393"/>
      <c r="DV145" s="1323"/>
      <c r="DW145" s="1394"/>
      <c r="DX145" s="1912"/>
      <c r="DY145" s="1394"/>
      <c r="DZ145" s="1358"/>
      <c r="EA145" s="1360"/>
      <c r="EB145" s="2120"/>
      <c r="EC145" s="1360"/>
      <c r="ED145" s="1395"/>
      <c r="EE145" s="1360"/>
      <c r="EF145" s="1396"/>
      <c r="EG145" s="1358"/>
      <c r="EH145" s="1360"/>
      <c r="EI145" s="2120"/>
      <c r="EJ145" s="1360"/>
      <c r="EK145" s="1395"/>
      <c r="EL145" s="1322"/>
      <c r="EM145" s="1379"/>
      <c r="EN145" s="1397"/>
      <c r="EO145" s="1323"/>
      <c r="FM145" s="2135"/>
    </row>
    <row r="146" spans="1:174" s="2228" customFormat="1" ht="11.25" customHeight="1" x14ac:dyDescent="0.2">
      <c r="A146" s="1907"/>
      <c r="B146" s="2064"/>
      <c r="C146" s="1322"/>
      <c r="D146" s="1322"/>
      <c r="E146" s="1333"/>
      <c r="F146" s="1322"/>
      <c r="G146" s="1321"/>
      <c r="H146" s="1908"/>
      <c r="I146" s="1321"/>
      <c r="J146" s="1908"/>
      <c r="K146" s="1333"/>
      <c r="L146" s="1335"/>
      <c r="M146" s="1909"/>
      <c r="N146" s="1336"/>
      <c r="O146" s="1910"/>
      <c r="P146" s="1333"/>
      <c r="Q146" s="1332"/>
      <c r="R146" s="1911"/>
      <c r="S146" s="1912"/>
      <c r="T146" s="1337"/>
      <c r="U146" s="1338"/>
      <c r="V146" s="1913"/>
      <c r="W146" s="1914"/>
      <c r="X146" s="1915"/>
      <c r="Y146" s="1340"/>
      <c r="Z146" s="1340"/>
      <c r="AA146" s="1341"/>
      <c r="AB146" s="1916"/>
      <c r="AC146" s="1343"/>
      <c r="AD146" s="1344"/>
      <c r="AE146" s="1345"/>
      <c r="AF146" s="1346"/>
      <c r="AG146" s="1346"/>
      <c r="AH146" s="1347"/>
      <c r="AI146" s="1348"/>
      <c r="AJ146" s="1349"/>
      <c r="AK146" s="1348"/>
      <c r="AL146" s="1350"/>
      <c r="AM146" s="1351"/>
      <c r="AN146" s="1352"/>
      <c r="AO146" s="1353"/>
      <c r="AP146" s="1354"/>
      <c r="AQ146" s="1355"/>
      <c r="AR146" s="1356"/>
      <c r="AS146" s="1357"/>
      <c r="AT146" s="1358"/>
      <c r="AU146" s="1359"/>
      <c r="AV146" s="1360"/>
      <c r="AW146" s="1359"/>
      <c r="AX146" s="1334"/>
      <c r="AY146" s="1323"/>
      <c r="AZ146" s="1917"/>
      <c r="BA146" s="1362"/>
      <c r="BB146" s="1363"/>
      <c r="BC146" s="1918"/>
      <c r="BD146" s="1919"/>
      <c r="BE146" s="1919"/>
      <c r="BF146" s="1364"/>
      <c r="BG146" s="1365"/>
      <c r="BH146" s="1920"/>
      <c r="BI146" s="1921"/>
      <c r="BJ146" s="1367"/>
      <c r="BK146" s="1922"/>
      <c r="BL146" s="1367"/>
      <c r="BM146" s="1923"/>
      <c r="BN146" s="1351"/>
      <c r="BO146" s="1369"/>
      <c r="BP146" s="1370"/>
      <c r="BQ146" s="1371"/>
      <c r="BR146" s="1366"/>
      <c r="BS146" s="1359"/>
      <c r="BT146" s="1924"/>
      <c r="BU146" s="1359"/>
      <c r="BV146" s="1334"/>
      <c r="BW146" s="1373"/>
      <c r="BX146" s="1374"/>
      <c r="BY146" s="1400"/>
      <c r="BZ146" s="1364"/>
      <c r="CA146" s="1375"/>
      <c r="CB146" s="1376"/>
      <c r="CC146" s="1377"/>
      <c r="CD146" s="1341"/>
      <c r="CE146" s="1322"/>
      <c r="CF146" s="1322"/>
      <c r="CG146" s="1401"/>
      <c r="CH146" s="1322"/>
      <c r="CI146" s="1925"/>
      <c r="CJ146" s="1322"/>
      <c r="CK146" s="1379"/>
      <c r="CL146" s="1380"/>
      <c r="CM146" s="1381"/>
      <c r="CN146" s="1380"/>
      <c r="CO146" s="1382"/>
      <c r="CP146" s="1379"/>
      <c r="CQ146" s="1380"/>
      <c r="CR146" s="1381"/>
      <c r="CS146" s="1380"/>
      <c r="CT146" s="1382"/>
      <c r="CU146" s="1383"/>
      <c r="CV146" s="1384"/>
      <c r="CW146" s="1385"/>
      <c r="CX146" s="1386"/>
      <c r="CY146" s="1385"/>
      <c r="CZ146" s="1386"/>
      <c r="DA146" s="1385"/>
      <c r="DB146" s="1386"/>
      <c r="DC146" s="1387"/>
      <c r="DD146" s="1388"/>
      <c r="DE146" s="1388"/>
      <c r="DF146" s="1341"/>
      <c r="DG146" s="1341"/>
      <c r="DH146" s="1341"/>
      <c r="DI146" s="1341"/>
      <c r="DJ146" s="1341"/>
      <c r="DK146" s="1341"/>
      <c r="DL146" s="1364"/>
      <c r="DM146" s="1380"/>
      <c r="DN146" s="1389"/>
      <c r="DO146" s="1987"/>
      <c r="DP146" s="1390"/>
      <c r="DQ146" s="1389"/>
      <c r="DR146" s="1389"/>
      <c r="DS146" s="2076"/>
      <c r="DT146" s="1333"/>
      <c r="DU146" s="1393"/>
      <c r="DV146" s="1323"/>
      <c r="DW146" s="1394"/>
      <c r="DX146" s="1912"/>
      <c r="DY146" s="1394"/>
      <c r="DZ146" s="1358"/>
      <c r="EA146" s="1360"/>
      <c r="EB146" s="1360"/>
      <c r="EC146" s="1360"/>
      <c r="ED146" s="1395"/>
      <c r="EE146" s="1360"/>
      <c r="EF146" s="1396"/>
      <c r="EG146" s="1358"/>
      <c r="EH146" s="1360"/>
      <c r="EI146" s="1360"/>
      <c r="EJ146" s="1360"/>
      <c r="EK146" s="1395"/>
      <c r="EL146" s="1322"/>
      <c r="EM146" s="1379"/>
      <c r="EN146" s="1397"/>
      <c r="EO146" s="1323"/>
      <c r="EP146" s="2091"/>
      <c r="EQ146" s="2091"/>
      <c r="ER146" s="2091"/>
      <c r="ES146" s="2091"/>
      <c r="ET146" s="2091"/>
      <c r="EU146" s="2091"/>
      <c r="EV146" s="2091"/>
      <c r="EW146" s="2091"/>
      <c r="EX146" s="2091"/>
      <c r="EY146" s="2091"/>
      <c r="EZ146" s="2091"/>
      <c r="FA146" s="2091"/>
      <c r="FB146" s="2091"/>
      <c r="FC146" s="2091"/>
      <c r="FD146" s="2091"/>
      <c r="FE146" s="2091"/>
      <c r="FF146" s="2091"/>
      <c r="FG146" s="2091"/>
      <c r="FH146" s="2091"/>
      <c r="FI146" s="2091"/>
      <c r="FJ146" s="2091"/>
      <c r="FK146" s="2091"/>
      <c r="FL146" s="2091"/>
      <c r="FM146" s="1398"/>
      <c r="FN146" s="1398"/>
      <c r="FO146" s="1398"/>
      <c r="FP146" s="1398"/>
      <c r="FQ146" s="1398"/>
      <c r="FR146" s="1398"/>
    </row>
    <row r="147" spans="1:174" s="1398" customFormat="1" ht="11.25" customHeight="1" x14ac:dyDescent="0.2">
      <c r="A147" s="1907"/>
      <c r="B147" s="1332"/>
      <c r="C147" s="2216"/>
      <c r="D147" s="1322"/>
      <c r="E147" s="1333"/>
      <c r="F147" s="1322"/>
      <c r="G147" s="1321"/>
      <c r="H147" s="1908"/>
      <c r="I147" s="1321"/>
      <c r="J147" s="1908"/>
      <c r="K147" s="1333"/>
      <c r="L147" s="1335"/>
      <c r="M147" s="1909"/>
      <c r="N147" s="1336"/>
      <c r="O147" s="1910"/>
      <c r="P147" s="1333"/>
      <c r="Q147" s="1332"/>
      <c r="R147" s="1911"/>
      <c r="S147" s="1912"/>
      <c r="T147" s="1337"/>
      <c r="U147" s="1338"/>
      <c r="V147" s="1913"/>
      <c r="W147" s="1914"/>
      <c r="X147" s="1915"/>
      <c r="Y147" s="1340"/>
      <c r="Z147" s="1340"/>
      <c r="AA147" s="1341"/>
      <c r="AB147" s="1916"/>
      <c r="AC147" s="1343"/>
      <c r="AD147" s="1344"/>
      <c r="AE147" s="1345"/>
      <c r="AF147" s="1346"/>
      <c r="AG147" s="1346"/>
      <c r="AH147" s="1347"/>
      <c r="AI147" s="1348"/>
      <c r="AJ147" s="1349"/>
      <c r="AK147" s="1348"/>
      <c r="AL147" s="1350"/>
      <c r="AM147" s="1351"/>
      <c r="AN147" s="1352"/>
      <c r="AO147" s="1353"/>
      <c r="AP147" s="1354"/>
      <c r="AQ147" s="1355"/>
      <c r="AR147" s="2229"/>
      <c r="AS147" s="1943"/>
      <c r="AT147" s="1358"/>
      <c r="AU147" s="1359"/>
      <c r="AV147" s="1360"/>
      <c r="AW147" s="1359"/>
      <c r="AX147" s="1334"/>
      <c r="AY147" s="1323"/>
      <c r="AZ147" s="1917"/>
      <c r="BA147" s="1362"/>
      <c r="BB147" s="1363"/>
      <c r="BC147" s="1918"/>
      <c r="BD147" s="1919"/>
      <c r="BE147" s="1919"/>
      <c r="BF147" s="1364"/>
      <c r="BG147" s="1365"/>
      <c r="BH147" s="1920"/>
      <c r="BI147" s="1921"/>
      <c r="BJ147" s="1367"/>
      <c r="BK147" s="1922"/>
      <c r="BL147" s="1367"/>
      <c r="BM147" s="1923"/>
      <c r="BN147" s="1351"/>
      <c r="BO147" s="1369"/>
      <c r="BP147" s="1370"/>
      <c r="BQ147" s="1371"/>
      <c r="BR147" s="1366"/>
      <c r="BS147" s="1359"/>
      <c r="BT147" s="1924"/>
      <c r="BU147" s="1359"/>
      <c r="BV147" s="1334"/>
      <c r="BW147" s="1373"/>
      <c r="BX147" s="1374"/>
      <c r="BY147" s="1400"/>
      <c r="BZ147" s="1364"/>
      <c r="CA147" s="1375"/>
      <c r="CB147" s="1376"/>
      <c r="CC147" s="1377"/>
      <c r="CD147" s="1341"/>
      <c r="CE147" s="1322"/>
      <c r="CF147" s="1322"/>
      <c r="CG147" s="1401"/>
      <c r="CH147" s="1364"/>
      <c r="CI147" s="1322"/>
      <c r="CJ147" s="1322"/>
      <c r="CK147" s="1379"/>
      <c r="CL147" s="1380"/>
      <c r="CM147" s="1381"/>
      <c r="CN147" s="1380"/>
      <c r="CO147" s="1382"/>
      <c r="CP147" s="1379"/>
      <c r="CQ147" s="1380"/>
      <c r="CR147" s="1381"/>
      <c r="CS147" s="1380"/>
      <c r="CT147" s="1382"/>
      <c r="CU147" s="1383"/>
      <c r="CV147" s="1384"/>
      <c r="CW147" s="1385"/>
      <c r="CX147" s="1386"/>
      <c r="CY147" s="1385"/>
      <c r="CZ147" s="1386"/>
      <c r="DA147" s="1385"/>
      <c r="DB147" s="1386"/>
      <c r="DC147" s="1387"/>
      <c r="DD147" s="1388"/>
      <c r="DE147" s="1388"/>
      <c r="DF147" s="1341"/>
      <c r="DG147" s="1341"/>
      <c r="DH147" s="1341"/>
      <c r="DI147" s="1341"/>
      <c r="DJ147" s="1341"/>
      <c r="DK147" s="1341"/>
      <c r="DL147" s="1364"/>
      <c r="DM147" s="2218"/>
      <c r="DN147" s="2219"/>
      <c r="DO147" s="1987"/>
      <c r="DP147" s="2220"/>
      <c r="DQ147" s="1382"/>
      <c r="DR147" s="1382"/>
      <c r="DS147" s="1391"/>
      <c r="DT147" s="1392"/>
      <c r="DU147" s="1393"/>
      <c r="DV147" s="1323"/>
      <c r="DW147" s="1394"/>
      <c r="DX147" s="1912"/>
      <c r="DY147" s="1394"/>
      <c r="DZ147" s="1358"/>
      <c r="EA147" s="1360"/>
      <c r="EB147" s="2120"/>
      <c r="EC147" s="1360"/>
      <c r="ED147" s="1395"/>
      <c r="EE147" s="1360"/>
      <c r="EF147" s="1396"/>
      <c r="EG147" s="1358"/>
      <c r="EH147" s="1360"/>
      <c r="EI147" s="2120"/>
      <c r="EJ147" s="1360"/>
      <c r="EK147" s="1395"/>
      <c r="EL147" s="1322"/>
      <c r="EM147" s="1379"/>
      <c r="EN147" s="1397"/>
      <c r="EO147" s="1323"/>
    </row>
    <row r="148" spans="1:174" s="1398" customFormat="1" ht="11.25" customHeight="1" x14ac:dyDescent="0.2">
      <c r="A148" s="1907"/>
      <c r="B148" s="2064"/>
      <c r="C148" s="1322"/>
      <c r="D148" s="1322"/>
      <c r="E148" s="1333"/>
      <c r="F148" s="1322"/>
      <c r="G148" s="1321"/>
      <c r="H148" s="1908"/>
      <c r="I148" s="1321"/>
      <c r="J148" s="1908"/>
      <c r="K148" s="1333"/>
      <c r="L148" s="1335"/>
      <c r="M148" s="1909"/>
      <c r="N148" s="1336"/>
      <c r="O148" s="1910"/>
      <c r="P148" s="1333"/>
      <c r="Q148" s="1332"/>
      <c r="R148" s="1911"/>
      <c r="S148" s="1912"/>
      <c r="T148" s="1337"/>
      <c r="U148" s="1338"/>
      <c r="V148" s="1913"/>
      <c r="W148" s="1914"/>
      <c r="X148" s="1915"/>
      <c r="Y148" s="1340"/>
      <c r="Z148" s="1340"/>
      <c r="AA148" s="1341"/>
      <c r="AB148" s="1916"/>
      <c r="AC148" s="1343"/>
      <c r="AD148" s="1344"/>
      <c r="AE148" s="1345"/>
      <c r="AF148" s="1346"/>
      <c r="AG148" s="1346"/>
      <c r="AH148" s="1347"/>
      <c r="AI148" s="1348"/>
      <c r="AJ148" s="1349"/>
      <c r="AK148" s="1348"/>
      <c r="AL148" s="1350"/>
      <c r="AM148" s="1351"/>
      <c r="AN148" s="1352"/>
      <c r="AO148" s="1353"/>
      <c r="AP148" s="1354"/>
      <c r="AQ148" s="1355"/>
      <c r="AR148" s="1356"/>
      <c r="AS148" s="1357"/>
      <c r="AT148" s="1358"/>
      <c r="AU148" s="1359"/>
      <c r="AV148" s="1360"/>
      <c r="AW148" s="1359"/>
      <c r="AX148" s="1334"/>
      <c r="AY148" s="2096"/>
      <c r="AZ148" s="2230"/>
      <c r="BA148" s="1362"/>
      <c r="BB148" s="1363"/>
      <c r="BC148" s="1918"/>
      <c r="BD148" s="1919"/>
      <c r="BE148" s="1919"/>
      <c r="BF148" s="1364"/>
      <c r="BG148" s="1365"/>
      <c r="BH148" s="1920"/>
      <c r="BI148" s="1921"/>
      <c r="BJ148" s="1367"/>
      <c r="BK148" s="1922"/>
      <c r="BL148" s="1367"/>
      <c r="BM148" s="1923"/>
      <c r="BN148" s="1351"/>
      <c r="BO148" s="1369"/>
      <c r="BP148" s="1370"/>
      <c r="BQ148" s="1371"/>
      <c r="BR148" s="1366"/>
      <c r="BS148" s="1359"/>
      <c r="BT148" s="1924"/>
      <c r="BU148" s="1359"/>
      <c r="BV148" s="1334"/>
      <c r="BW148" s="1373"/>
      <c r="BX148" s="1374"/>
      <c r="BY148" s="1400"/>
      <c r="BZ148" s="1364"/>
      <c r="CA148" s="1375"/>
      <c r="CB148" s="1376"/>
      <c r="CC148" s="1377"/>
      <c r="CD148" s="1341"/>
      <c r="CE148" s="1322"/>
      <c r="CF148" s="1322"/>
      <c r="CG148" s="1401"/>
      <c r="CH148" s="1925"/>
      <c r="CI148" s="1322"/>
      <c r="CJ148" s="1322"/>
      <c r="CK148" s="1379"/>
      <c r="CL148" s="1380"/>
      <c r="CM148" s="1381"/>
      <c r="CN148" s="1380"/>
      <c r="CO148" s="1382"/>
      <c r="CP148" s="1379"/>
      <c r="CQ148" s="1380"/>
      <c r="CR148" s="1381"/>
      <c r="CS148" s="1380"/>
      <c r="CT148" s="1382"/>
      <c r="CU148" s="1383"/>
      <c r="CV148" s="1384"/>
      <c r="CW148" s="1385"/>
      <c r="CX148" s="1386"/>
      <c r="CY148" s="1385"/>
      <c r="CZ148" s="1386"/>
      <c r="DA148" s="1385"/>
      <c r="DB148" s="1386"/>
      <c r="DC148" s="1387"/>
      <c r="DD148" s="1388"/>
      <c r="DE148" s="1388"/>
      <c r="DF148" s="1341"/>
      <c r="DG148" s="1341"/>
      <c r="DH148" s="1341"/>
      <c r="DI148" s="1341"/>
      <c r="DJ148" s="1341"/>
      <c r="DK148" s="1341"/>
      <c r="DL148" s="1364"/>
      <c r="DM148" s="1380"/>
      <c r="DN148" s="1389"/>
      <c r="DO148" s="1987"/>
      <c r="DP148" s="2067"/>
      <c r="DQ148" s="2223"/>
      <c r="DR148" s="1382"/>
      <c r="DS148" s="1391"/>
      <c r="DT148" s="1392"/>
      <c r="DU148" s="1393"/>
      <c r="DV148" s="1323"/>
      <c r="DW148" s="1394"/>
      <c r="DX148" s="1912"/>
      <c r="DY148" s="1394"/>
      <c r="DZ148" s="1358"/>
      <c r="EA148" s="1360"/>
      <c r="EB148" s="2120"/>
      <c r="EC148" s="1360"/>
      <c r="ED148" s="1395"/>
      <c r="EE148" s="1360"/>
      <c r="EF148" s="1396"/>
      <c r="EG148" s="1358"/>
      <c r="EH148" s="1360"/>
      <c r="EI148" s="2120"/>
      <c r="EJ148" s="1360"/>
      <c r="EK148" s="1395"/>
      <c r="EL148" s="1322"/>
      <c r="EM148" s="1379"/>
      <c r="EN148" s="1397"/>
      <c r="EO148" s="1323"/>
    </row>
    <row r="149" spans="1:174" s="1398" customFormat="1" ht="11.25" customHeight="1" x14ac:dyDescent="0.2">
      <c r="A149" s="1907"/>
      <c r="B149" s="1332"/>
      <c r="C149" s="2216"/>
      <c r="D149" s="1322"/>
      <c r="E149" s="1333"/>
      <c r="F149" s="1322"/>
      <c r="G149" s="1321"/>
      <c r="H149" s="1908"/>
      <c r="I149" s="1321"/>
      <c r="J149" s="1908"/>
      <c r="K149" s="1333"/>
      <c r="L149" s="1335"/>
      <c r="M149" s="1909"/>
      <c r="N149" s="1336"/>
      <c r="O149" s="1910"/>
      <c r="P149" s="1333"/>
      <c r="Q149" s="1332"/>
      <c r="R149" s="1911"/>
      <c r="S149" s="1912"/>
      <c r="T149" s="1337"/>
      <c r="U149" s="1338"/>
      <c r="V149" s="1913"/>
      <c r="W149" s="1914"/>
      <c r="X149" s="1915"/>
      <c r="Y149" s="1340"/>
      <c r="Z149" s="1340"/>
      <c r="AA149" s="1341"/>
      <c r="AB149" s="1916"/>
      <c r="AC149" s="1343"/>
      <c r="AD149" s="1344"/>
      <c r="AE149" s="1345"/>
      <c r="AF149" s="1346"/>
      <c r="AG149" s="1346"/>
      <c r="AH149" s="1347"/>
      <c r="AI149" s="1348"/>
      <c r="AJ149" s="1349"/>
      <c r="AK149" s="1348"/>
      <c r="AL149" s="1350"/>
      <c r="AM149" s="1351"/>
      <c r="AN149" s="1352"/>
      <c r="AO149" s="1353"/>
      <c r="AP149" s="1354"/>
      <c r="AQ149" s="1355"/>
      <c r="AR149" s="1356"/>
      <c r="AS149" s="1357"/>
      <c r="AT149" s="1358"/>
      <c r="AU149" s="1359"/>
      <c r="AV149" s="1360"/>
      <c r="AW149" s="1359"/>
      <c r="AX149" s="1334"/>
      <c r="AY149" s="1323"/>
      <c r="AZ149" s="1917"/>
      <c r="BA149" s="1362"/>
      <c r="BB149" s="1363"/>
      <c r="BC149" s="1918"/>
      <c r="BD149" s="1919"/>
      <c r="BE149" s="1919"/>
      <c r="BF149" s="1364"/>
      <c r="BG149" s="1365"/>
      <c r="BH149" s="1920"/>
      <c r="BI149" s="1921"/>
      <c r="BJ149" s="1367"/>
      <c r="BK149" s="1922"/>
      <c r="BL149" s="1367"/>
      <c r="BM149" s="1923"/>
      <c r="BN149" s="1351"/>
      <c r="BO149" s="1369"/>
      <c r="BP149" s="1370"/>
      <c r="BQ149" s="1371"/>
      <c r="BR149" s="1366"/>
      <c r="BS149" s="1359"/>
      <c r="BT149" s="1924"/>
      <c r="BU149" s="1359"/>
      <c r="BV149" s="1334"/>
      <c r="BW149" s="1373"/>
      <c r="BX149" s="1374"/>
      <c r="BY149" s="1400"/>
      <c r="BZ149" s="1364"/>
      <c r="CA149" s="1375"/>
      <c r="CB149" s="1376"/>
      <c r="CC149" s="1377"/>
      <c r="CD149" s="1341"/>
      <c r="CE149" s="1322"/>
      <c r="CF149" s="1322"/>
      <c r="CG149" s="1401"/>
      <c r="CH149" s="1925"/>
      <c r="CI149" s="1322"/>
      <c r="CJ149" s="1322"/>
      <c r="CK149" s="1379"/>
      <c r="CL149" s="1380"/>
      <c r="CM149" s="1381"/>
      <c r="CN149" s="1380"/>
      <c r="CO149" s="1382"/>
      <c r="CP149" s="1379"/>
      <c r="CQ149" s="1380"/>
      <c r="CR149" s="1381"/>
      <c r="CS149" s="1380"/>
      <c r="CT149" s="1382"/>
      <c r="CU149" s="1383"/>
      <c r="CV149" s="1384"/>
      <c r="CW149" s="1385"/>
      <c r="CX149" s="1386"/>
      <c r="CY149" s="1385"/>
      <c r="CZ149" s="1386"/>
      <c r="DA149" s="1385"/>
      <c r="DB149" s="1386"/>
      <c r="DC149" s="1387"/>
      <c r="DD149" s="1388"/>
      <c r="DE149" s="1388"/>
      <c r="DF149" s="1341"/>
      <c r="DG149" s="1341"/>
      <c r="DH149" s="1341"/>
      <c r="DI149" s="1341"/>
      <c r="DJ149" s="1341"/>
      <c r="DK149" s="1341"/>
      <c r="DL149" s="1364"/>
      <c r="DM149" s="1380"/>
      <c r="DN149" s="1389"/>
      <c r="DO149" s="1987"/>
      <c r="DP149" s="2067"/>
      <c r="DQ149" s="1382"/>
      <c r="DR149" s="1382"/>
      <c r="DS149" s="1391"/>
      <c r="DT149" s="1392"/>
      <c r="DU149" s="1393"/>
      <c r="DV149" s="1323"/>
      <c r="DW149" s="1394"/>
      <c r="DX149" s="1912"/>
      <c r="DY149" s="1394"/>
      <c r="DZ149" s="1358"/>
      <c r="EA149" s="1360"/>
      <c r="EB149" s="2120"/>
      <c r="EC149" s="1360"/>
      <c r="ED149" s="1395"/>
      <c r="EE149" s="1360"/>
      <c r="EF149" s="1396"/>
      <c r="EG149" s="1358"/>
      <c r="EH149" s="1360"/>
      <c r="EI149" s="2120"/>
      <c r="EJ149" s="1360"/>
      <c r="EK149" s="1395"/>
      <c r="EL149" s="1322"/>
      <c r="EM149" s="1379"/>
      <c r="EN149" s="1397"/>
      <c r="EO149" s="1323"/>
    </row>
    <row r="150" spans="1:174" s="1982" customFormat="1" ht="11.25" customHeight="1" x14ac:dyDescent="0.2">
      <c r="A150" s="1907"/>
      <c r="B150" s="2064"/>
      <c r="C150" s="1322"/>
      <c r="D150" s="1322"/>
      <c r="E150" s="1333"/>
      <c r="F150" s="1322"/>
      <c r="G150" s="1321"/>
      <c r="H150" s="1908"/>
      <c r="I150" s="1321"/>
      <c r="J150" s="1908"/>
      <c r="K150" s="1333"/>
      <c r="L150" s="1335"/>
      <c r="M150" s="1909"/>
      <c r="N150" s="1336"/>
      <c r="O150" s="1910"/>
      <c r="P150" s="1333"/>
      <c r="Q150" s="1332"/>
      <c r="R150" s="1911"/>
      <c r="S150" s="1912"/>
      <c r="T150" s="1337"/>
      <c r="U150" s="1338"/>
      <c r="V150" s="1913"/>
      <c r="W150" s="1914"/>
      <c r="X150" s="1915"/>
      <c r="Y150" s="1340"/>
      <c r="Z150" s="1340"/>
      <c r="AA150" s="1341"/>
      <c r="AB150" s="1916"/>
      <c r="AC150" s="1343"/>
      <c r="AD150" s="1344"/>
      <c r="AE150" s="1345"/>
      <c r="AF150" s="1346"/>
      <c r="AG150" s="1346"/>
      <c r="AH150" s="1347"/>
      <c r="AI150" s="1348"/>
      <c r="AJ150" s="1349"/>
      <c r="AK150" s="1348"/>
      <c r="AL150" s="1350"/>
      <c r="AM150" s="1351"/>
      <c r="AN150" s="1352"/>
      <c r="AO150" s="1353"/>
      <c r="AP150" s="1354"/>
      <c r="AQ150" s="1355"/>
      <c r="AR150" s="1356"/>
      <c r="AS150" s="1357"/>
      <c r="AT150" s="1358"/>
      <c r="AU150" s="1359"/>
      <c r="AV150" s="1360"/>
      <c r="AW150" s="1359"/>
      <c r="AX150" s="1334"/>
      <c r="AY150" s="1323"/>
      <c r="AZ150" s="1917"/>
      <c r="BA150" s="1362"/>
      <c r="BB150" s="1363"/>
      <c r="BC150" s="1918"/>
      <c r="BD150" s="1919"/>
      <c r="BE150" s="1919"/>
      <c r="BF150" s="1364"/>
      <c r="BG150" s="1365"/>
      <c r="BH150" s="1920"/>
      <c r="BI150" s="1921"/>
      <c r="BJ150" s="1367"/>
      <c r="BK150" s="1922"/>
      <c r="BL150" s="1367"/>
      <c r="BM150" s="1923"/>
      <c r="BN150" s="1351"/>
      <c r="BO150" s="1369"/>
      <c r="BP150" s="1370"/>
      <c r="BQ150" s="1371"/>
      <c r="BR150" s="1366"/>
      <c r="BS150" s="1359"/>
      <c r="BT150" s="1924"/>
      <c r="BU150" s="1359"/>
      <c r="BV150" s="1334"/>
      <c r="BW150" s="1373"/>
      <c r="BX150" s="1374"/>
      <c r="BY150" s="1400"/>
      <c r="BZ150" s="1364"/>
      <c r="CA150" s="1375"/>
      <c r="CB150" s="1376"/>
      <c r="CC150" s="1377"/>
      <c r="CD150" s="1341"/>
      <c r="CE150" s="1322"/>
      <c r="CF150" s="1322"/>
      <c r="CG150" s="1401"/>
      <c r="CH150" s="1925"/>
      <c r="CI150" s="1322"/>
      <c r="CJ150" s="1322"/>
      <c r="CK150" s="1379"/>
      <c r="CL150" s="1380"/>
      <c r="CM150" s="1381"/>
      <c r="CN150" s="1380"/>
      <c r="CO150" s="1382"/>
      <c r="CP150" s="1379"/>
      <c r="CQ150" s="1380"/>
      <c r="CR150" s="1389"/>
      <c r="CS150" s="1380"/>
      <c r="CT150" s="1382"/>
      <c r="CU150" s="1383"/>
      <c r="CV150" s="1384"/>
      <c r="CW150" s="1385"/>
      <c r="CX150" s="1386"/>
      <c r="CY150" s="1385"/>
      <c r="CZ150" s="1386"/>
      <c r="DA150" s="1385"/>
      <c r="DB150" s="1386"/>
      <c r="DC150" s="1387"/>
      <c r="DD150" s="1388"/>
      <c r="DE150" s="1388"/>
      <c r="DF150" s="1341"/>
      <c r="DG150" s="1341"/>
      <c r="DH150" s="1341"/>
      <c r="DI150" s="1341"/>
      <c r="DJ150" s="1341"/>
      <c r="DK150" s="1341"/>
      <c r="DL150" s="1364"/>
      <c r="DM150" s="2218"/>
      <c r="DN150" s="2219"/>
      <c r="DO150" s="1322"/>
      <c r="DP150" s="2220"/>
      <c r="DQ150" s="1389"/>
      <c r="DR150" s="1389"/>
      <c r="DS150" s="2076"/>
      <c r="DT150" s="1333"/>
      <c r="DU150" s="1393"/>
      <c r="DV150" s="1323"/>
      <c r="DW150" s="1394"/>
      <c r="DX150" s="1912"/>
      <c r="DY150" s="1394"/>
      <c r="DZ150" s="1358"/>
      <c r="EA150" s="1360"/>
      <c r="EB150" s="1360"/>
      <c r="EC150" s="1360"/>
      <c r="ED150" s="1395"/>
      <c r="EE150" s="1360"/>
      <c r="EF150" s="1396"/>
      <c r="EG150" s="1358"/>
      <c r="EH150" s="1360"/>
      <c r="EI150" s="1360"/>
      <c r="EJ150" s="1360"/>
      <c r="EK150" s="1395"/>
      <c r="EL150" s="2106"/>
      <c r="EM150" s="1379"/>
      <c r="EN150" s="1397"/>
      <c r="EO150" s="1323"/>
      <c r="EP150" s="1398"/>
      <c r="EQ150" s="1398"/>
      <c r="ER150" s="1398"/>
      <c r="ES150" s="1398"/>
      <c r="ET150" s="1398"/>
      <c r="EU150" s="1398"/>
      <c r="EV150" s="1398"/>
      <c r="EW150" s="1398"/>
      <c r="EX150" s="1398"/>
      <c r="EY150" s="1398"/>
      <c r="EZ150" s="1398"/>
      <c r="FA150" s="1398"/>
      <c r="FB150" s="1398"/>
      <c r="FC150" s="1398"/>
      <c r="FD150" s="1398"/>
      <c r="FE150" s="1398"/>
      <c r="FF150" s="1398"/>
      <c r="FG150" s="1398"/>
      <c r="FH150" s="1398"/>
      <c r="FI150" s="1398"/>
      <c r="FJ150" s="1398"/>
      <c r="FK150" s="1398"/>
      <c r="FL150" s="1398"/>
      <c r="FM150" s="1398"/>
      <c r="FN150" s="1398"/>
      <c r="FO150" s="1398"/>
      <c r="FP150" s="1398"/>
      <c r="FQ150" s="1398"/>
      <c r="FR150" s="1398"/>
    </row>
    <row r="151" spans="1:174" s="1982" customFormat="1" ht="11.25" customHeight="1" x14ac:dyDescent="0.2">
      <c r="A151" s="1907"/>
      <c r="B151" s="1332"/>
      <c r="C151" s="2216"/>
      <c r="D151" s="1322"/>
      <c r="E151" s="1333"/>
      <c r="F151" s="1322"/>
      <c r="G151" s="1321"/>
      <c r="H151" s="1908"/>
      <c r="I151" s="1321"/>
      <c r="J151" s="1908"/>
      <c r="K151" s="1333"/>
      <c r="L151" s="1335"/>
      <c r="M151" s="1909"/>
      <c r="N151" s="1336"/>
      <c r="O151" s="1910"/>
      <c r="P151" s="1333"/>
      <c r="Q151" s="1332"/>
      <c r="R151" s="1911"/>
      <c r="S151" s="1912"/>
      <c r="T151" s="1337"/>
      <c r="U151" s="1338"/>
      <c r="V151" s="1913"/>
      <c r="W151" s="1914"/>
      <c r="X151" s="1915"/>
      <c r="Y151" s="1340"/>
      <c r="Z151" s="1340"/>
      <c r="AA151" s="1341"/>
      <c r="AB151" s="1916"/>
      <c r="AC151" s="1343"/>
      <c r="AD151" s="1344"/>
      <c r="AE151" s="1345"/>
      <c r="AF151" s="1346"/>
      <c r="AG151" s="1346"/>
      <c r="AH151" s="1347"/>
      <c r="AI151" s="1348"/>
      <c r="AJ151" s="1349"/>
      <c r="AK151" s="1348"/>
      <c r="AL151" s="1350"/>
      <c r="AM151" s="1351"/>
      <c r="AN151" s="1352"/>
      <c r="AO151" s="1353"/>
      <c r="AP151" s="1354"/>
      <c r="AQ151" s="1355"/>
      <c r="AR151" s="1356"/>
      <c r="AS151" s="1357"/>
      <c r="AT151" s="1358"/>
      <c r="AU151" s="1359"/>
      <c r="AV151" s="1360"/>
      <c r="AW151" s="1359"/>
      <c r="AX151" s="1334"/>
      <c r="AY151" s="1323"/>
      <c r="AZ151" s="1917"/>
      <c r="BA151" s="1362"/>
      <c r="BB151" s="1363"/>
      <c r="BC151" s="1918"/>
      <c r="BD151" s="1919"/>
      <c r="BE151" s="1919"/>
      <c r="BF151" s="1364"/>
      <c r="BG151" s="1365"/>
      <c r="BH151" s="1920"/>
      <c r="BI151" s="1921"/>
      <c r="BJ151" s="1367"/>
      <c r="BK151" s="1922"/>
      <c r="BL151" s="1367"/>
      <c r="BM151" s="1923"/>
      <c r="BN151" s="1351"/>
      <c r="BO151" s="1369"/>
      <c r="BP151" s="1370"/>
      <c r="BQ151" s="1371"/>
      <c r="BR151" s="1366"/>
      <c r="BS151" s="1359"/>
      <c r="BT151" s="1924"/>
      <c r="BU151" s="1359"/>
      <c r="BV151" s="1334"/>
      <c r="BW151" s="1373"/>
      <c r="BX151" s="1374"/>
      <c r="BY151" s="1400"/>
      <c r="BZ151" s="1364"/>
      <c r="CA151" s="1375"/>
      <c r="CB151" s="1376"/>
      <c r="CC151" s="1377"/>
      <c r="CD151" s="1341"/>
      <c r="CE151" s="1322"/>
      <c r="CF151" s="1322"/>
      <c r="CG151" s="1401"/>
      <c r="CH151" s="1364"/>
      <c r="CI151" s="1322"/>
      <c r="CJ151" s="1322"/>
      <c r="CK151" s="1379"/>
      <c r="CL151" s="1380"/>
      <c r="CM151" s="1381"/>
      <c r="CN151" s="1380"/>
      <c r="CO151" s="1382"/>
      <c r="CP151" s="1379"/>
      <c r="CQ151" s="1380"/>
      <c r="CR151" s="1389"/>
      <c r="CS151" s="1380"/>
      <c r="CT151" s="1382"/>
      <c r="CU151" s="1383"/>
      <c r="CV151" s="1384"/>
      <c r="CW151" s="1385"/>
      <c r="CX151" s="1386"/>
      <c r="CY151" s="1385"/>
      <c r="CZ151" s="1386"/>
      <c r="DA151" s="1385"/>
      <c r="DB151" s="1386"/>
      <c r="DC151" s="1387"/>
      <c r="DD151" s="1388"/>
      <c r="DE151" s="1388"/>
      <c r="DF151" s="1341"/>
      <c r="DG151" s="1341"/>
      <c r="DH151" s="1341"/>
      <c r="DI151" s="1341"/>
      <c r="DJ151" s="1341"/>
      <c r="DK151" s="1341"/>
      <c r="DL151" s="1364"/>
      <c r="DM151" s="1380"/>
      <c r="DN151" s="1389"/>
      <c r="DO151" s="1987"/>
      <c r="DP151" s="2067"/>
      <c r="DQ151" s="1382"/>
      <c r="DR151" s="1382"/>
      <c r="DS151" s="1391"/>
      <c r="DT151" s="1392"/>
      <c r="DU151" s="1393"/>
      <c r="DV151" s="1323"/>
      <c r="DW151" s="1394"/>
      <c r="DX151" s="1912"/>
      <c r="DY151" s="1394"/>
      <c r="DZ151" s="2077"/>
      <c r="EA151" s="1360"/>
      <c r="EB151" s="2090"/>
      <c r="EC151" s="1360"/>
      <c r="ED151" s="1395"/>
      <c r="EE151" s="1360"/>
      <c r="EF151" s="1396"/>
      <c r="EG151" s="2077"/>
      <c r="EH151" s="1360"/>
      <c r="EI151" s="2090"/>
      <c r="EJ151" s="1360"/>
      <c r="EK151" s="1395"/>
      <c r="EL151" s="1322"/>
      <c r="EM151" s="1379"/>
      <c r="EN151" s="1397"/>
      <c r="EO151" s="1323"/>
      <c r="EP151" s="2215"/>
      <c r="EQ151" s="2215"/>
      <c r="ER151" s="2215"/>
      <c r="ES151" s="2215"/>
      <c r="ET151" s="2215"/>
      <c r="EU151" s="2215"/>
      <c r="EV151" s="2215"/>
      <c r="EW151" s="2215"/>
      <c r="EX151" s="2215"/>
      <c r="EY151" s="2215"/>
      <c r="EZ151" s="2215"/>
      <c r="FA151" s="2215"/>
      <c r="FB151" s="2215"/>
      <c r="FC151" s="2215"/>
      <c r="FD151" s="2215"/>
      <c r="FE151" s="2215"/>
      <c r="FF151" s="2215"/>
      <c r="FG151" s="2215"/>
      <c r="FH151" s="2215"/>
      <c r="FI151" s="2215"/>
      <c r="FJ151" s="2215"/>
      <c r="FK151" s="2215"/>
      <c r="FL151" s="2215"/>
      <c r="FM151" s="1398"/>
      <c r="FN151" s="1398"/>
      <c r="FO151" s="1398"/>
      <c r="FP151" s="1398"/>
      <c r="FQ151" s="1398"/>
      <c r="FR151" s="1398"/>
    </row>
    <row r="152" spans="1:174" s="1926" customFormat="1" ht="11.25" customHeight="1" x14ac:dyDescent="0.2">
      <c r="A152" s="1907"/>
      <c r="B152" s="2064"/>
      <c r="C152" s="2216"/>
      <c r="D152" s="1322"/>
      <c r="E152" s="1333"/>
      <c r="F152" s="1322"/>
      <c r="G152" s="1321"/>
      <c r="H152" s="1908"/>
      <c r="I152" s="1321"/>
      <c r="J152" s="1908"/>
      <c r="K152" s="1333"/>
      <c r="L152" s="1335"/>
      <c r="M152" s="1909"/>
      <c r="N152" s="1336"/>
      <c r="O152" s="1910"/>
      <c r="P152" s="1333"/>
      <c r="Q152" s="1332"/>
      <c r="R152" s="1911"/>
      <c r="S152" s="1912"/>
      <c r="T152" s="1337"/>
      <c r="U152" s="1338"/>
      <c r="V152" s="1913"/>
      <c r="W152" s="1914"/>
      <c r="X152" s="1915"/>
      <c r="Y152" s="1340"/>
      <c r="Z152" s="1340"/>
      <c r="AA152" s="1341"/>
      <c r="AB152" s="1916"/>
      <c r="AC152" s="1343"/>
      <c r="AD152" s="1344"/>
      <c r="AE152" s="1345"/>
      <c r="AF152" s="1346"/>
      <c r="AG152" s="1346"/>
      <c r="AH152" s="1347"/>
      <c r="AI152" s="1348"/>
      <c r="AJ152" s="1349"/>
      <c r="AK152" s="1348"/>
      <c r="AL152" s="1350"/>
      <c r="AM152" s="1351"/>
      <c r="AN152" s="1352"/>
      <c r="AO152" s="1353"/>
      <c r="AP152" s="1354"/>
      <c r="AQ152" s="1355"/>
      <c r="AR152" s="1356"/>
      <c r="AS152" s="1357"/>
      <c r="AT152" s="1358"/>
      <c r="AU152" s="1359"/>
      <c r="AV152" s="1360"/>
      <c r="AW152" s="1359"/>
      <c r="AX152" s="1334"/>
      <c r="AY152" s="1323"/>
      <c r="AZ152" s="1361"/>
      <c r="BA152" s="1362"/>
      <c r="BB152" s="1363"/>
      <c r="BC152" s="1918"/>
      <c r="BD152" s="1919"/>
      <c r="BE152" s="1919"/>
      <c r="BF152" s="1364"/>
      <c r="BG152" s="1365"/>
      <c r="BH152" s="1920"/>
      <c r="BI152" s="1921"/>
      <c r="BJ152" s="1367"/>
      <c r="BK152" s="1922"/>
      <c r="BL152" s="1367"/>
      <c r="BM152" s="1923"/>
      <c r="BN152" s="1351"/>
      <c r="BO152" s="1369"/>
      <c r="BP152" s="1370"/>
      <c r="BQ152" s="1371"/>
      <c r="BR152" s="1366"/>
      <c r="BS152" s="1359"/>
      <c r="BT152" s="1924"/>
      <c r="BU152" s="1359"/>
      <c r="BV152" s="1334"/>
      <c r="BW152" s="1373"/>
      <c r="BX152" s="1374"/>
      <c r="BY152" s="1400"/>
      <c r="BZ152" s="1364"/>
      <c r="CA152" s="1375"/>
      <c r="CB152" s="1376"/>
      <c r="CC152" s="1377"/>
      <c r="CD152" s="1341"/>
      <c r="CE152" s="1322"/>
      <c r="CF152" s="1322"/>
      <c r="CG152" s="1401"/>
      <c r="CH152" s="1322"/>
      <c r="CI152" s="1925"/>
      <c r="CJ152" s="1322"/>
      <c r="CK152" s="1379"/>
      <c r="CL152" s="1380"/>
      <c r="CM152" s="1381"/>
      <c r="CN152" s="1380"/>
      <c r="CO152" s="1382"/>
      <c r="CP152" s="1379"/>
      <c r="CQ152" s="1380"/>
      <c r="CR152" s="1381"/>
      <c r="CS152" s="1380"/>
      <c r="CT152" s="1382"/>
      <c r="CU152" s="1383"/>
      <c r="CV152" s="1384"/>
      <c r="CW152" s="1385"/>
      <c r="CX152" s="1386"/>
      <c r="CY152" s="1385"/>
      <c r="CZ152" s="1386"/>
      <c r="DA152" s="1385"/>
      <c r="DB152" s="1386"/>
      <c r="DC152" s="1387"/>
      <c r="DD152" s="1388"/>
      <c r="DE152" s="1388"/>
      <c r="DF152" s="1341"/>
      <c r="DG152" s="1341"/>
      <c r="DH152" s="1341"/>
      <c r="DI152" s="1341"/>
      <c r="DJ152" s="1341"/>
      <c r="DK152" s="2231"/>
      <c r="DL152" s="1364"/>
      <c r="DM152" s="1380"/>
      <c r="DN152" s="1389"/>
      <c r="DO152" s="1987"/>
      <c r="DP152" s="2223"/>
      <c r="DQ152" s="1382"/>
      <c r="DR152" s="1382"/>
      <c r="DS152" s="1391"/>
      <c r="DT152" s="1392"/>
      <c r="DU152" s="1393"/>
      <c r="DV152" s="1323"/>
      <c r="DW152" s="1394"/>
      <c r="DX152" s="1912"/>
      <c r="DY152" s="1394"/>
      <c r="DZ152" s="2077"/>
      <c r="EA152" s="1360"/>
      <c r="EB152" s="1360"/>
      <c r="EC152" s="1360"/>
      <c r="ED152" s="1395"/>
      <c r="EE152" s="1360"/>
      <c r="EF152" s="1396"/>
      <c r="EG152" s="2077"/>
      <c r="EH152" s="1360"/>
      <c r="EI152" s="1360"/>
      <c r="EJ152" s="1360"/>
      <c r="EK152" s="1395"/>
      <c r="EL152" s="1322"/>
      <c r="EM152" s="1379"/>
      <c r="EN152" s="1397"/>
      <c r="EO152" s="1323"/>
      <c r="EP152" s="1398"/>
      <c r="EQ152" s="1398"/>
      <c r="ER152" s="1398"/>
      <c r="ES152" s="1398"/>
      <c r="ET152" s="1398"/>
      <c r="EU152" s="1398"/>
      <c r="EV152" s="1398"/>
      <c r="EW152" s="1398"/>
      <c r="EX152" s="1398"/>
      <c r="EY152" s="1398"/>
      <c r="EZ152" s="1398"/>
      <c r="FA152" s="1398"/>
      <c r="FB152" s="1398"/>
      <c r="FC152" s="1398"/>
      <c r="FD152" s="1398"/>
      <c r="FE152" s="1398"/>
      <c r="FF152" s="1398"/>
      <c r="FG152" s="1398"/>
      <c r="FH152" s="1398"/>
      <c r="FI152" s="1398"/>
      <c r="FJ152" s="1398"/>
      <c r="FK152" s="1398"/>
      <c r="FL152" s="1398"/>
      <c r="FM152" s="1398"/>
    </row>
    <row r="153" spans="1:174" s="1398" customFormat="1" ht="11.25" customHeight="1" x14ac:dyDescent="0.2">
      <c r="A153" s="1907"/>
      <c r="B153" s="1332"/>
      <c r="C153" s="1322"/>
      <c r="D153" s="1322"/>
      <c r="E153" s="1333"/>
      <c r="F153" s="1322"/>
      <c r="G153" s="1321"/>
      <c r="H153" s="1908"/>
      <c r="I153" s="1321"/>
      <c r="J153" s="1908"/>
      <c r="K153" s="1333"/>
      <c r="L153" s="1335"/>
      <c r="M153" s="1909"/>
      <c r="N153" s="1336"/>
      <c r="O153" s="1910"/>
      <c r="P153" s="1333"/>
      <c r="Q153" s="1332"/>
      <c r="R153" s="1911"/>
      <c r="S153" s="1912"/>
      <c r="T153" s="1337"/>
      <c r="U153" s="1338"/>
      <c r="V153" s="1913"/>
      <c r="W153" s="1914"/>
      <c r="X153" s="1915"/>
      <c r="Y153" s="1340"/>
      <c r="Z153" s="1340"/>
      <c r="AA153" s="1341"/>
      <c r="AB153" s="2065"/>
      <c r="AC153" s="1343"/>
      <c r="AD153" s="1344"/>
      <c r="AE153" s="1345"/>
      <c r="AF153" s="1346"/>
      <c r="AG153" s="1346"/>
      <c r="AH153" s="1347"/>
      <c r="AI153" s="1348"/>
      <c r="AJ153" s="1349"/>
      <c r="AK153" s="1348"/>
      <c r="AL153" s="1350"/>
      <c r="AM153" s="1351"/>
      <c r="AN153" s="1352"/>
      <c r="AO153" s="1353"/>
      <c r="AP153" s="1354"/>
      <c r="AQ153" s="1355"/>
      <c r="AR153" s="1356"/>
      <c r="AS153" s="1357"/>
      <c r="AT153" s="1358"/>
      <c r="AU153" s="1359"/>
      <c r="AV153" s="1360"/>
      <c r="AW153" s="1359"/>
      <c r="AX153" s="1334"/>
      <c r="AY153" s="1323"/>
      <c r="AZ153" s="1917"/>
      <c r="BA153" s="1362"/>
      <c r="BB153" s="1363"/>
      <c r="BC153" s="1918"/>
      <c r="BD153" s="1919"/>
      <c r="BE153" s="1919"/>
      <c r="BF153" s="1364"/>
      <c r="BG153" s="1365"/>
      <c r="BH153" s="1920"/>
      <c r="BI153" s="1921"/>
      <c r="BJ153" s="1367"/>
      <c r="BK153" s="1922"/>
      <c r="BL153" s="1367"/>
      <c r="BM153" s="1923"/>
      <c r="BN153" s="1351"/>
      <c r="BO153" s="1369"/>
      <c r="BP153" s="1370"/>
      <c r="BQ153" s="1371"/>
      <c r="BR153" s="1366"/>
      <c r="BS153" s="1359"/>
      <c r="BT153" s="1924"/>
      <c r="BU153" s="1359"/>
      <c r="BV153" s="1334"/>
      <c r="BW153" s="1373"/>
      <c r="BX153" s="1374"/>
      <c r="BY153" s="1400"/>
      <c r="BZ153" s="1364"/>
      <c r="CA153" s="1375"/>
      <c r="CB153" s="1376"/>
      <c r="CC153" s="1377"/>
      <c r="CD153" s="1341"/>
      <c r="CE153" s="1322"/>
      <c r="CF153" s="1322"/>
      <c r="CG153" s="1401"/>
      <c r="CH153" s="1322"/>
      <c r="CI153" s="1925"/>
      <c r="CJ153" s="1322"/>
      <c r="CK153" s="1379"/>
      <c r="CL153" s="1380"/>
      <c r="CM153" s="1381"/>
      <c r="CN153" s="1380"/>
      <c r="CO153" s="1382"/>
      <c r="CP153" s="1379"/>
      <c r="CQ153" s="1380"/>
      <c r="CR153" s="1381"/>
      <c r="CS153" s="1380"/>
      <c r="CT153" s="1382"/>
      <c r="CU153" s="1383"/>
      <c r="CV153" s="1384"/>
      <c r="CW153" s="1385"/>
      <c r="CX153" s="1386"/>
      <c r="CY153" s="1385"/>
      <c r="CZ153" s="1386"/>
      <c r="DA153" s="1385"/>
      <c r="DB153" s="1386"/>
      <c r="DC153" s="1387"/>
      <c r="DD153" s="1388"/>
      <c r="DE153" s="1388"/>
      <c r="DF153" s="1341"/>
      <c r="DG153" s="1341"/>
      <c r="DH153" s="1341"/>
      <c r="DI153" s="1341"/>
      <c r="DJ153" s="1341"/>
      <c r="DK153" s="1341"/>
      <c r="DL153" s="1364"/>
      <c r="DM153" s="2218"/>
      <c r="DN153" s="2219"/>
      <c r="DO153" s="1987"/>
      <c r="DP153" s="2220"/>
      <c r="DQ153" s="1382"/>
      <c r="DR153" s="1382"/>
      <c r="DS153" s="1391"/>
      <c r="DT153" s="1915"/>
      <c r="DU153" s="1393"/>
      <c r="DV153" s="1323"/>
      <c r="DW153" s="1394"/>
      <c r="DX153" s="1912"/>
      <c r="DY153" s="1394"/>
      <c r="DZ153" s="2111"/>
      <c r="EA153" s="1360"/>
      <c r="EB153" s="2223"/>
      <c r="EC153" s="1360"/>
      <c r="ED153" s="1395"/>
      <c r="EE153" s="1360"/>
      <c r="EF153" s="1396"/>
      <c r="EG153" s="2111"/>
      <c r="EH153" s="1360"/>
      <c r="EI153" s="2223"/>
      <c r="EJ153" s="1360"/>
      <c r="EK153" s="1395"/>
      <c r="EL153" s="1322"/>
      <c r="EM153" s="1379"/>
      <c r="EN153" s="1397"/>
      <c r="EO153" s="1323"/>
      <c r="FM153" s="2226"/>
    </row>
    <row r="154" spans="1:174" s="1982" customFormat="1" ht="11.25" customHeight="1" x14ac:dyDescent="0.2">
      <c r="A154" s="1907"/>
      <c r="B154" s="1907"/>
      <c r="C154" s="1322"/>
      <c r="D154" s="1322"/>
      <c r="E154" s="1333"/>
      <c r="F154" s="1322"/>
      <c r="G154" s="1321"/>
      <c r="H154" s="1908"/>
      <c r="I154" s="1321"/>
      <c r="J154" s="1908"/>
      <c r="K154" s="1333"/>
      <c r="L154" s="1335"/>
      <c r="M154" s="1909"/>
      <c r="N154" s="1336"/>
      <c r="O154" s="1928"/>
      <c r="P154" s="1333"/>
      <c r="Q154" s="1927"/>
      <c r="R154" s="1911"/>
      <c r="S154" s="1912"/>
      <c r="T154" s="1337"/>
      <c r="U154" s="1338"/>
      <c r="V154" s="1913"/>
      <c r="W154" s="2232"/>
      <c r="X154" s="1915"/>
      <c r="Y154" s="2233"/>
      <c r="Z154" s="2233"/>
      <c r="AA154" s="1341"/>
      <c r="AB154" s="1342"/>
      <c r="AC154" s="1343"/>
      <c r="AD154" s="1344"/>
      <c r="AE154" s="1345"/>
      <c r="AF154" s="1346"/>
      <c r="AG154" s="1346"/>
      <c r="AH154" s="1347"/>
      <c r="AI154" s="1348"/>
      <c r="AJ154" s="2227"/>
      <c r="AK154" s="1348"/>
      <c r="AL154" s="1350"/>
      <c r="AM154" s="1351"/>
      <c r="AN154" s="1352"/>
      <c r="AO154" s="2234"/>
      <c r="AP154" s="1354"/>
      <c r="AQ154" s="1355"/>
      <c r="AR154" s="1356"/>
      <c r="AS154" s="1357"/>
      <c r="AT154" s="1358"/>
      <c r="AU154" s="1359"/>
      <c r="AV154" s="1360"/>
      <c r="AW154" s="1359"/>
      <c r="AX154" s="1334"/>
      <c r="AY154" s="1323"/>
      <c r="AZ154" s="2235"/>
      <c r="BA154" s="2236"/>
      <c r="BB154" s="1363"/>
      <c r="BC154" s="2237"/>
      <c r="BD154" s="1919"/>
      <c r="BE154" s="1919"/>
      <c r="BF154" s="1364"/>
      <c r="BG154" s="1365"/>
      <c r="BH154" s="1920"/>
      <c r="BI154" s="1921"/>
      <c r="BJ154" s="1367"/>
      <c r="BK154" s="1922"/>
      <c r="BL154" s="1367"/>
      <c r="BM154" s="1923"/>
      <c r="BN154" s="1351"/>
      <c r="BO154" s="2238"/>
      <c r="BP154" s="1370"/>
      <c r="BQ154" s="1371"/>
      <c r="BR154" s="1366"/>
      <c r="BS154" s="1359"/>
      <c r="BT154" s="1924"/>
      <c r="BU154" s="1359"/>
      <c r="BV154" s="1334"/>
      <c r="BW154" s="2239"/>
      <c r="BX154" s="2240"/>
      <c r="BY154" s="2241"/>
      <c r="BZ154" s="1364"/>
      <c r="CA154" s="1375"/>
      <c r="CB154" s="1376"/>
      <c r="CC154" s="1377"/>
      <c r="CD154" s="1341"/>
      <c r="CE154" s="1322"/>
      <c r="CF154" s="1322"/>
      <c r="CG154" s="1401"/>
      <c r="CH154" s="1322"/>
      <c r="CI154" s="2242"/>
      <c r="CJ154" s="1322"/>
      <c r="CK154" s="1379"/>
      <c r="CL154" s="1380"/>
      <c r="CM154" s="1381"/>
      <c r="CN154" s="1380"/>
      <c r="CO154" s="1382"/>
      <c r="CP154" s="1379"/>
      <c r="CQ154" s="1380"/>
      <c r="CR154" s="1381"/>
      <c r="CS154" s="1380"/>
      <c r="CT154" s="1382"/>
      <c r="CU154" s="1383"/>
      <c r="CV154" s="2243"/>
      <c r="CW154" s="1385"/>
      <c r="CX154" s="1386"/>
      <c r="CY154" s="1385"/>
      <c r="CZ154" s="1386"/>
      <c r="DA154" s="1385"/>
      <c r="DB154" s="1386"/>
      <c r="DC154" s="1387"/>
      <c r="DD154" s="1388"/>
      <c r="DE154" s="1388"/>
      <c r="DF154" s="1341"/>
      <c r="DG154" s="1341"/>
      <c r="DH154" s="1341"/>
      <c r="DI154" s="1341"/>
      <c r="DJ154" s="1341"/>
      <c r="DK154" s="1341"/>
      <c r="DL154" s="1364"/>
      <c r="DM154" s="1380"/>
      <c r="DN154" s="1389"/>
      <c r="DO154" s="1987"/>
      <c r="DP154" s="2067"/>
      <c r="DQ154" s="1382"/>
      <c r="DR154" s="1382"/>
      <c r="DS154" s="1391"/>
      <c r="DT154" s="1392"/>
      <c r="DU154" s="1393"/>
      <c r="DV154" s="1323"/>
      <c r="DW154" s="1394"/>
      <c r="DX154" s="1912"/>
      <c r="DY154" s="1394"/>
      <c r="DZ154" s="1358"/>
      <c r="EA154" s="1360"/>
      <c r="EB154" s="2120"/>
      <c r="EC154" s="1360"/>
      <c r="ED154" s="1395"/>
      <c r="EE154" s="1360"/>
      <c r="EF154" s="1396"/>
      <c r="EG154" s="1358"/>
      <c r="EH154" s="1360"/>
      <c r="EI154" s="2120"/>
      <c r="EJ154" s="1360"/>
      <c r="EK154" s="1395"/>
      <c r="EL154" s="1322"/>
      <c r="EM154" s="1379"/>
      <c r="EN154" s="1397"/>
      <c r="EO154" s="1323"/>
      <c r="EP154" s="1398"/>
      <c r="EQ154" s="1398"/>
      <c r="ER154" s="1398"/>
      <c r="ES154" s="1398"/>
      <c r="ET154" s="1398"/>
      <c r="EU154" s="1398"/>
      <c r="EV154" s="1398"/>
      <c r="EW154" s="1398"/>
      <c r="EX154" s="1398"/>
      <c r="EY154" s="1398"/>
      <c r="EZ154" s="1398"/>
      <c r="FA154" s="1398"/>
      <c r="FB154" s="1398"/>
      <c r="FC154" s="1398"/>
      <c r="FD154" s="1398"/>
      <c r="FE154" s="1398"/>
      <c r="FF154" s="1398"/>
      <c r="FG154" s="1398"/>
      <c r="FH154" s="1398"/>
      <c r="FI154" s="1398"/>
      <c r="FJ154" s="1398"/>
      <c r="FK154" s="1398"/>
      <c r="FL154" s="1398"/>
      <c r="FM154" s="1398"/>
      <c r="FN154" s="1398"/>
      <c r="FO154" s="1398"/>
      <c r="FP154" s="1398"/>
      <c r="FQ154" s="1398"/>
      <c r="FR154" s="1398"/>
    </row>
    <row r="155" spans="1:174" s="1982" customFormat="1" ht="11.25" customHeight="1" x14ac:dyDescent="0.2">
      <c r="A155" s="1907"/>
      <c r="B155" s="1332"/>
      <c r="C155" s="1322"/>
      <c r="D155" s="1322"/>
      <c r="E155" s="1333"/>
      <c r="F155" s="1322"/>
      <c r="G155" s="1321"/>
      <c r="H155" s="1908"/>
      <c r="I155" s="1321"/>
      <c r="J155" s="1908"/>
      <c r="K155" s="1333"/>
      <c r="L155" s="1335"/>
      <c r="M155" s="1909"/>
      <c r="N155" s="1336"/>
      <c r="O155" s="1910"/>
      <c r="P155" s="1333"/>
      <c r="Q155" s="1332"/>
      <c r="R155" s="1911"/>
      <c r="S155" s="1912"/>
      <c r="T155" s="1337"/>
      <c r="U155" s="1338"/>
      <c r="V155" s="1913"/>
      <c r="W155" s="1914"/>
      <c r="X155" s="1915"/>
      <c r="Y155" s="1340"/>
      <c r="Z155" s="1340"/>
      <c r="AA155" s="1341"/>
      <c r="AB155" s="1916"/>
      <c r="AC155" s="1343"/>
      <c r="AD155" s="1344"/>
      <c r="AE155" s="1345"/>
      <c r="AF155" s="1346"/>
      <c r="AG155" s="1346"/>
      <c r="AH155" s="1347"/>
      <c r="AI155" s="1348"/>
      <c r="AJ155" s="1349"/>
      <c r="AK155" s="1348"/>
      <c r="AL155" s="1350"/>
      <c r="AM155" s="1351"/>
      <c r="AN155" s="1352"/>
      <c r="AO155" s="1353"/>
      <c r="AP155" s="1354"/>
      <c r="AQ155" s="1355"/>
      <c r="AR155" s="1356"/>
      <c r="AS155" s="1357"/>
      <c r="AT155" s="1358"/>
      <c r="AU155" s="1359"/>
      <c r="AV155" s="1360"/>
      <c r="AW155" s="1359"/>
      <c r="AX155" s="1334"/>
      <c r="AY155" s="1323"/>
      <c r="AZ155" s="2244"/>
      <c r="BA155" s="1362"/>
      <c r="BB155" s="1363"/>
      <c r="BC155" s="1918"/>
      <c r="BD155" s="1919"/>
      <c r="BE155" s="1919"/>
      <c r="BF155" s="1364"/>
      <c r="BG155" s="1365"/>
      <c r="BH155" s="1920"/>
      <c r="BI155" s="1921"/>
      <c r="BJ155" s="1367"/>
      <c r="BK155" s="1922"/>
      <c r="BL155" s="1367"/>
      <c r="BM155" s="1923"/>
      <c r="BN155" s="1351"/>
      <c r="BO155" s="1369"/>
      <c r="BP155" s="1370"/>
      <c r="BQ155" s="1371"/>
      <c r="BR155" s="1366"/>
      <c r="BS155" s="1359"/>
      <c r="BT155" s="1924"/>
      <c r="BU155" s="1359"/>
      <c r="BV155" s="1334"/>
      <c r="BW155" s="1373"/>
      <c r="BX155" s="1374"/>
      <c r="BY155" s="1400"/>
      <c r="BZ155" s="1364"/>
      <c r="CA155" s="1375"/>
      <c r="CB155" s="1376"/>
      <c r="CC155" s="1377"/>
      <c r="CD155" s="1341"/>
      <c r="CE155" s="1322"/>
      <c r="CF155" s="1322"/>
      <c r="CG155" s="1401"/>
      <c r="CH155" s="1322"/>
      <c r="CI155" s="1925"/>
      <c r="CJ155" s="1322"/>
      <c r="CK155" s="1379"/>
      <c r="CL155" s="1380"/>
      <c r="CM155" s="1381"/>
      <c r="CN155" s="1380"/>
      <c r="CO155" s="1382"/>
      <c r="CP155" s="1379"/>
      <c r="CQ155" s="1380"/>
      <c r="CR155" s="1389"/>
      <c r="CS155" s="1380"/>
      <c r="CT155" s="1382"/>
      <c r="CU155" s="1383"/>
      <c r="CV155" s="1384"/>
      <c r="CW155" s="1385"/>
      <c r="CX155" s="1386"/>
      <c r="CY155" s="1385"/>
      <c r="CZ155" s="1386"/>
      <c r="DA155" s="1385"/>
      <c r="DB155" s="1386"/>
      <c r="DC155" s="1387"/>
      <c r="DD155" s="1388"/>
      <c r="DE155" s="1388"/>
      <c r="DF155" s="1341"/>
      <c r="DG155" s="1341"/>
      <c r="DH155" s="1341"/>
      <c r="DI155" s="1341"/>
      <c r="DJ155" s="1341"/>
      <c r="DK155" s="1341"/>
      <c r="DL155" s="1364"/>
      <c r="DM155" s="1380"/>
      <c r="DN155" s="1389"/>
      <c r="DO155" s="1987"/>
      <c r="DP155" s="2067"/>
      <c r="DQ155" s="1382"/>
      <c r="DR155" s="1382"/>
      <c r="DS155" s="1391"/>
      <c r="DT155" s="1392"/>
      <c r="DU155" s="1393"/>
      <c r="DV155" s="1323"/>
      <c r="DW155" s="1394"/>
      <c r="DX155" s="1912"/>
      <c r="DY155" s="1394"/>
      <c r="DZ155" s="1358"/>
      <c r="EA155" s="1360"/>
      <c r="EB155" s="1360"/>
      <c r="EC155" s="1360"/>
      <c r="ED155" s="1395"/>
      <c r="EE155" s="1360"/>
      <c r="EF155" s="1396"/>
      <c r="EG155" s="1358"/>
      <c r="EH155" s="1360"/>
      <c r="EI155" s="1360"/>
      <c r="EJ155" s="1360"/>
      <c r="EK155" s="1395"/>
      <c r="EL155" s="1322"/>
      <c r="EM155" s="1379"/>
      <c r="EN155" s="1397"/>
      <c r="EO155" s="1323"/>
      <c r="EP155" s="1398"/>
      <c r="EQ155" s="1398"/>
      <c r="ER155" s="1398"/>
      <c r="ES155" s="1398"/>
      <c r="ET155" s="1398"/>
      <c r="EU155" s="1398"/>
      <c r="EV155" s="1398"/>
      <c r="EW155" s="1398"/>
      <c r="EX155" s="1398"/>
      <c r="EY155" s="1398"/>
      <c r="EZ155" s="1398"/>
      <c r="FA155" s="1398"/>
      <c r="FB155" s="1398"/>
      <c r="FC155" s="1398"/>
      <c r="FD155" s="1398"/>
      <c r="FE155" s="1398"/>
      <c r="FF155" s="1398"/>
      <c r="FG155" s="1398"/>
      <c r="FH155" s="1398"/>
      <c r="FI155" s="1398"/>
      <c r="FJ155" s="1398"/>
      <c r="FK155" s="1398"/>
      <c r="FL155" s="1398"/>
      <c r="FM155" s="1398"/>
      <c r="FN155" s="1398"/>
      <c r="FO155" s="1398"/>
      <c r="FP155" s="1398"/>
      <c r="FQ155" s="1398"/>
      <c r="FR155" s="1398"/>
    </row>
    <row r="156" spans="1:174" s="2091" customFormat="1" ht="11.25" customHeight="1" x14ac:dyDescent="0.2">
      <c r="A156" s="1907"/>
      <c r="B156" s="2064"/>
      <c r="C156" s="2216"/>
      <c r="D156" s="1322"/>
      <c r="E156" s="1333"/>
      <c r="F156" s="1322"/>
      <c r="G156" s="1321"/>
      <c r="H156" s="1908"/>
      <c r="I156" s="1321"/>
      <c r="J156" s="1908"/>
      <c r="K156" s="1333"/>
      <c r="L156" s="1335"/>
      <c r="M156" s="1909"/>
      <c r="N156" s="1336"/>
      <c r="O156" s="1910"/>
      <c r="P156" s="1333"/>
      <c r="Q156" s="1332"/>
      <c r="R156" s="1911"/>
      <c r="S156" s="1912"/>
      <c r="T156" s="1337"/>
      <c r="U156" s="1338"/>
      <c r="V156" s="1913"/>
      <c r="W156" s="1914"/>
      <c r="X156" s="1915"/>
      <c r="Y156" s="1340"/>
      <c r="Z156" s="1340"/>
      <c r="AA156" s="1341"/>
      <c r="AB156" s="2124"/>
      <c r="AC156" s="1343"/>
      <c r="AD156" s="1344"/>
      <c r="AE156" s="1345"/>
      <c r="AF156" s="1346"/>
      <c r="AG156" s="1346"/>
      <c r="AH156" s="1358"/>
      <c r="AI156" s="1359"/>
      <c r="AJ156" s="1360"/>
      <c r="AK156" s="1359"/>
      <c r="AL156" s="1334"/>
      <c r="AM156" s="1351"/>
      <c r="AN156" s="1352"/>
      <c r="AO156" s="1353"/>
      <c r="AP156" s="1354"/>
      <c r="AQ156" s="1355"/>
      <c r="AR156" s="1356"/>
      <c r="AS156" s="1357"/>
      <c r="AT156" s="1358"/>
      <c r="AU156" s="1359"/>
      <c r="AV156" s="1360"/>
      <c r="AW156" s="1359"/>
      <c r="AX156" s="2170"/>
      <c r="AY156" s="1323"/>
      <c r="AZ156" s="1917"/>
      <c r="BA156" s="1362"/>
      <c r="BB156" s="1363"/>
      <c r="BC156" s="1918"/>
      <c r="BD156" s="1919"/>
      <c r="BE156" s="1919"/>
      <c r="BF156" s="1364"/>
      <c r="BG156" s="1365"/>
      <c r="BH156" s="1920"/>
      <c r="BI156" s="1921"/>
      <c r="BJ156" s="1367"/>
      <c r="BK156" s="1922"/>
      <c r="BL156" s="1367"/>
      <c r="BM156" s="1923"/>
      <c r="BN156" s="1351"/>
      <c r="BO156" s="1369"/>
      <c r="BP156" s="1370"/>
      <c r="BQ156" s="1371"/>
      <c r="BR156" s="1366"/>
      <c r="BS156" s="1359"/>
      <c r="BT156" s="1924"/>
      <c r="BU156" s="1359"/>
      <c r="BV156" s="1334"/>
      <c r="BW156" s="1373"/>
      <c r="BX156" s="1374"/>
      <c r="BY156" s="1400"/>
      <c r="BZ156" s="1364"/>
      <c r="CA156" s="1375"/>
      <c r="CB156" s="1376"/>
      <c r="CC156" s="1377"/>
      <c r="CD156" s="1341"/>
      <c r="CE156" s="1322"/>
      <c r="CF156" s="1322"/>
      <c r="CG156" s="1401"/>
      <c r="CH156" s="1322"/>
      <c r="CI156" s="1925"/>
      <c r="CJ156" s="1322"/>
      <c r="CK156" s="1379"/>
      <c r="CL156" s="1380"/>
      <c r="CM156" s="1381"/>
      <c r="CN156" s="1380"/>
      <c r="CO156" s="1382"/>
      <c r="CP156" s="1379"/>
      <c r="CQ156" s="1380"/>
      <c r="CR156" s="1381"/>
      <c r="CS156" s="1380"/>
      <c r="CT156" s="1382"/>
      <c r="CU156" s="1383"/>
      <c r="CV156" s="1384"/>
      <c r="CW156" s="1385"/>
      <c r="CX156" s="1386"/>
      <c r="CY156" s="1385"/>
      <c r="CZ156" s="1386"/>
      <c r="DA156" s="1385"/>
      <c r="DB156" s="1386"/>
      <c r="DC156" s="1387"/>
      <c r="DD156" s="1388"/>
      <c r="DE156" s="1388"/>
      <c r="DF156" s="1341"/>
      <c r="DG156" s="1341"/>
      <c r="DH156" s="1341"/>
      <c r="DI156" s="1341"/>
      <c r="DJ156" s="1341"/>
      <c r="DK156" s="1341"/>
      <c r="DL156" s="1364"/>
      <c r="DM156" s="2218"/>
      <c r="DN156" s="2219"/>
      <c r="DO156" s="1322"/>
      <c r="DP156" s="2220"/>
      <c r="DQ156" s="1389"/>
      <c r="DR156" s="1389"/>
      <c r="DS156" s="2076"/>
      <c r="DT156" s="1333"/>
      <c r="DU156" s="1393"/>
      <c r="DV156" s="1323"/>
      <c r="DW156" s="1394"/>
      <c r="DX156" s="1912"/>
      <c r="DY156" s="1394"/>
      <c r="DZ156" s="1358"/>
      <c r="EA156" s="1360"/>
      <c r="EB156" s="1360"/>
      <c r="EC156" s="1360"/>
      <c r="ED156" s="1395"/>
      <c r="EE156" s="1360"/>
      <c r="EF156" s="1396"/>
      <c r="EG156" s="1358"/>
      <c r="EH156" s="1360"/>
      <c r="EI156" s="1360"/>
      <c r="EJ156" s="1360"/>
      <c r="EK156" s="1395"/>
      <c r="EL156" s="1322"/>
      <c r="EM156" s="1379"/>
      <c r="EN156" s="1397"/>
      <c r="EO156" s="1323"/>
      <c r="EP156" s="1398"/>
      <c r="EQ156" s="1398"/>
      <c r="ER156" s="1398"/>
      <c r="ES156" s="1398"/>
      <c r="ET156" s="1398"/>
      <c r="EU156" s="1398"/>
      <c r="EV156" s="1398"/>
      <c r="EW156" s="1398"/>
      <c r="EX156" s="1398"/>
      <c r="EY156" s="1398"/>
      <c r="EZ156" s="1398"/>
      <c r="FA156" s="1398"/>
      <c r="FB156" s="1398"/>
      <c r="FC156" s="1398"/>
      <c r="FD156" s="1398"/>
      <c r="FE156" s="1398"/>
      <c r="FF156" s="1398"/>
      <c r="FG156" s="1398"/>
      <c r="FH156" s="1398"/>
      <c r="FI156" s="1398"/>
      <c r="FJ156" s="1398"/>
      <c r="FK156" s="1398"/>
      <c r="FL156" s="1398"/>
      <c r="FM156" s="1398"/>
      <c r="FN156" s="1398"/>
      <c r="FO156" s="1398"/>
      <c r="FP156" s="1398"/>
      <c r="FQ156" s="1398"/>
      <c r="FR156" s="1398"/>
    </row>
    <row r="157" spans="1:174" s="1398" customFormat="1" ht="11.25" customHeight="1" x14ac:dyDescent="0.2">
      <c r="A157" s="1907"/>
      <c r="B157" s="1332"/>
      <c r="C157" s="1322"/>
      <c r="D157" s="1322"/>
      <c r="E157" s="1333"/>
      <c r="F157" s="1322"/>
      <c r="G157" s="1321"/>
      <c r="H157" s="1908"/>
      <c r="I157" s="1321"/>
      <c r="J157" s="1908"/>
      <c r="K157" s="1333"/>
      <c r="L157" s="1335"/>
      <c r="M157" s="1909"/>
      <c r="N157" s="1336"/>
      <c r="O157" s="1910"/>
      <c r="P157" s="1333"/>
      <c r="Q157" s="1332"/>
      <c r="R157" s="1911"/>
      <c r="S157" s="1912"/>
      <c r="T157" s="1337"/>
      <c r="U157" s="1338"/>
      <c r="V157" s="1913"/>
      <c r="W157" s="1914"/>
      <c r="X157" s="1915"/>
      <c r="Y157" s="1340"/>
      <c r="Z157" s="1340"/>
      <c r="AA157" s="1341"/>
      <c r="AB157" s="1916"/>
      <c r="AC157" s="1343"/>
      <c r="AD157" s="1344"/>
      <c r="AE157" s="1345"/>
      <c r="AF157" s="1346"/>
      <c r="AG157" s="1346"/>
      <c r="AH157" s="1347"/>
      <c r="AI157" s="1348"/>
      <c r="AJ157" s="1349"/>
      <c r="AK157" s="1348"/>
      <c r="AL157" s="1350"/>
      <c r="AM157" s="1351"/>
      <c r="AN157" s="1352"/>
      <c r="AO157" s="1353"/>
      <c r="AP157" s="1354"/>
      <c r="AQ157" s="1355"/>
      <c r="AR157" s="1356"/>
      <c r="AS157" s="1357"/>
      <c r="AT157" s="1358"/>
      <c r="AU157" s="2109"/>
      <c r="AV157" s="1360"/>
      <c r="AW157" s="1359"/>
      <c r="AX157" s="1334"/>
      <c r="AY157" s="1323"/>
      <c r="AZ157" s="1917"/>
      <c r="BA157" s="1362"/>
      <c r="BB157" s="1363"/>
      <c r="BC157" s="1918"/>
      <c r="BD157" s="1919"/>
      <c r="BE157" s="1919"/>
      <c r="BF157" s="1364"/>
      <c r="BG157" s="1365"/>
      <c r="BH157" s="1920"/>
      <c r="BI157" s="1921"/>
      <c r="BJ157" s="1367"/>
      <c r="BK157" s="1922"/>
      <c r="BL157" s="1367"/>
      <c r="BM157" s="1923"/>
      <c r="BN157" s="1351"/>
      <c r="BO157" s="1369"/>
      <c r="BP157" s="1370"/>
      <c r="BQ157" s="1371"/>
      <c r="BR157" s="1366"/>
      <c r="BS157" s="1359"/>
      <c r="BT157" s="1924"/>
      <c r="BU157" s="1359"/>
      <c r="BV157" s="1334"/>
      <c r="BW157" s="1373"/>
      <c r="BX157" s="1374"/>
      <c r="BY157" s="1400"/>
      <c r="BZ157" s="1364"/>
      <c r="CA157" s="1375"/>
      <c r="CB157" s="1376"/>
      <c r="CC157" s="1377"/>
      <c r="CD157" s="1341"/>
      <c r="CE157" s="1322"/>
      <c r="CF157" s="1322"/>
      <c r="CG157" s="1401"/>
      <c r="CH157" s="1322"/>
      <c r="CI157" s="1925"/>
      <c r="CJ157" s="1322"/>
      <c r="CK157" s="1379"/>
      <c r="CL157" s="1380"/>
      <c r="CM157" s="1381"/>
      <c r="CN157" s="1380"/>
      <c r="CO157" s="1382"/>
      <c r="CP157" s="1379"/>
      <c r="CQ157" s="1380"/>
      <c r="CR157" s="1381"/>
      <c r="CS157" s="1380"/>
      <c r="CT157" s="1382"/>
      <c r="CU157" s="1383"/>
      <c r="CV157" s="1384"/>
      <c r="CW157" s="1385"/>
      <c r="CX157" s="1386"/>
      <c r="CY157" s="1385"/>
      <c r="CZ157" s="1386"/>
      <c r="DA157" s="1385"/>
      <c r="DB157" s="1386"/>
      <c r="DC157" s="1387"/>
      <c r="DD157" s="1388"/>
      <c r="DE157" s="1388"/>
      <c r="DF157" s="1341"/>
      <c r="DG157" s="1341"/>
      <c r="DH157" s="1341"/>
      <c r="DI157" s="1341"/>
      <c r="DJ157" s="1341"/>
      <c r="DK157" s="1341"/>
      <c r="DL157" s="1364"/>
      <c r="DM157" s="1380"/>
      <c r="DN157" s="1389"/>
      <c r="DO157" s="1987"/>
      <c r="DP157" s="2067"/>
      <c r="DQ157" s="1382"/>
      <c r="DR157" s="1382"/>
      <c r="DS157" s="1391"/>
      <c r="DT157" s="1392"/>
      <c r="DU157" s="1393"/>
      <c r="DV157" s="1323"/>
      <c r="DW157" s="1394"/>
      <c r="DX157" s="1912"/>
      <c r="DY157" s="1394"/>
      <c r="DZ157" s="2111"/>
      <c r="EA157" s="1360"/>
      <c r="EB157" s="2078"/>
      <c r="EC157" s="1360"/>
      <c r="ED157" s="1395"/>
      <c r="EE157" s="1360"/>
      <c r="EF157" s="1396"/>
      <c r="EG157" s="2111"/>
      <c r="EH157" s="1360"/>
      <c r="EI157" s="2078"/>
      <c r="EJ157" s="1360"/>
      <c r="EK157" s="1395"/>
      <c r="EL157" s="1322"/>
      <c r="EM157" s="1379"/>
      <c r="EN157" s="1397"/>
      <c r="EO157" s="1323"/>
    </row>
    <row r="158" spans="1:174" s="1398" customFormat="1" ht="11.25" customHeight="1" x14ac:dyDescent="0.2">
      <c r="A158" s="1907"/>
      <c r="B158" s="2064"/>
      <c r="C158" s="2216"/>
      <c r="D158" s="1322"/>
      <c r="E158" s="1333"/>
      <c r="F158" s="1322"/>
      <c r="G158" s="1321"/>
      <c r="H158" s="1908"/>
      <c r="I158" s="1321"/>
      <c r="J158" s="1908"/>
      <c r="K158" s="1333"/>
      <c r="L158" s="1335"/>
      <c r="M158" s="1909"/>
      <c r="N158" s="1336"/>
      <c r="O158" s="1910"/>
      <c r="P158" s="1333"/>
      <c r="Q158" s="1332"/>
      <c r="R158" s="1911"/>
      <c r="S158" s="1912"/>
      <c r="T158" s="1337"/>
      <c r="U158" s="1338"/>
      <c r="V158" s="1913"/>
      <c r="W158" s="1914"/>
      <c r="X158" s="1915"/>
      <c r="Y158" s="1340"/>
      <c r="Z158" s="1340"/>
      <c r="AA158" s="1341"/>
      <c r="AB158" s="1916"/>
      <c r="AC158" s="1343"/>
      <c r="AD158" s="1344"/>
      <c r="AE158" s="1345"/>
      <c r="AF158" s="1346"/>
      <c r="AG158" s="1346"/>
      <c r="AH158" s="1347"/>
      <c r="AI158" s="1348"/>
      <c r="AJ158" s="1349"/>
      <c r="AK158" s="1348"/>
      <c r="AL158" s="1350"/>
      <c r="AM158" s="1351"/>
      <c r="AN158" s="1352"/>
      <c r="AO158" s="1353"/>
      <c r="AP158" s="1354"/>
      <c r="AQ158" s="1355"/>
      <c r="AR158" s="1356"/>
      <c r="AS158" s="1357"/>
      <c r="AT158" s="1358"/>
      <c r="AU158" s="2109"/>
      <c r="AV158" s="1360"/>
      <c r="AW158" s="1359"/>
      <c r="AX158" s="1334"/>
      <c r="AY158" s="1323"/>
      <c r="AZ158" s="1917"/>
      <c r="BA158" s="1362"/>
      <c r="BB158" s="1363"/>
      <c r="BC158" s="1918"/>
      <c r="BD158" s="1919"/>
      <c r="BE158" s="1919"/>
      <c r="BF158" s="1364"/>
      <c r="BG158" s="1365"/>
      <c r="BH158" s="1920"/>
      <c r="BI158" s="1921"/>
      <c r="BJ158" s="1367"/>
      <c r="BK158" s="1922"/>
      <c r="BL158" s="1367"/>
      <c r="BM158" s="1923"/>
      <c r="BN158" s="1351"/>
      <c r="BO158" s="1369"/>
      <c r="BP158" s="1370"/>
      <c r="BQ158" s="1371"/>
      <c r="BR158" s="1366"/>
      <c r="BS158" s="1359"/>
      <c r="BT158" s="1924"/>
      <c r="BU158" s="1359"/>
      <c r="BV158" s="1334"/>
      <c r="BW158" s="1373"/>
      <c r="BX158" s="1374"/>
      <c r="BY158" s="1400"/>
      <c r="BZ158" s="1364"/>
      <c r="CA158" s="1375"/>
      <c r="CB158" s="1376"/>
      <c r="CC158" s="1377"/>
      <c r="CD158" s="1341"/>
      <c r="CE158" s="1322"/>
      <c r="CF158" s="1322"/>
      <c r="CG158" s="1401"/>
      <c r="CH158" s="1322"/>
      <c r="CI158" s="1925"/>
      <c r="CJ158" s="1322"/>
      <c r="CK158" s="1379"/>
      <c r="CL158" s="1380"/>
      <c r="CM158" s="1381"/>
      <c r="CN158" s="1380"/>
      <c r="CO158" s="1382"/>
      <c r="CP158" s="1379"/>
      <c r="CQ158" s="1380"/>
      <c r="CR158" s="1381"/>
      <c r="CS158" s="1380"/>
      <c r="CT158" s="1382"/>
      <c r="CU158" s="1383"/>
      <c r="CV158" s="1384"/>
      <c r="CW158" s="1385"/>
      <c r="CX158" s="1386"/>
      <c r="CY158" s="1385"/>
      <c r="CZ158" s="1386"/>
      <c r="DA158" s="1385"/>
      <c r="DB158" s="1386"/>
      <c r="DC158" s="1387"/>
      <c r="DD158" s="1388"/>
      <c r="DE158" s="1388"/>
      <c r="DF158" s="1341"/>
      <c r="DG158" s="1341"/>
      <c r="DH158" s="1341"/>
      <c r="DI158" s="1341"/>
      <c r="DJ158" s="1341"/>
      <c r="DK158" s="1341"/>
      <c r="DL158" s="1364"/>
      <c r="DM158" s="1380"/>
      <c r="DN158" s="1389"/>
      <c r="DO158" s="1987"/>
      <c r="DP158" s="2067"/>
      <c r="DQ158" s="1382"/>
      <c r="DR158" s="1389"/>
      <c r="DS158" s="2076"/>
      <c r="DT158" s="1333"/>
      <c r="DU158" s="1393"/>
      <c r="DV158" s="1333"/>
      <c r="DW158" s="1394"/>
      <c r="DX158" s="1912"/>
      <c r="DY158" s="1394"/>
      <c r="DZ158" s="2111"/>
      <c r="EA158" s="1360"/>
      <c r="EB158" s="2078"/>
      <c r="EC158" s="1360"/>
      <c r="ED158" s="1395"/>
      <c r="EE158" s="1360"/>
      <c r="EF158" s="1396"/>
      <c r="EG158" s="2111"/>
      <c r="EH158" s="1360"/>
      <c r="EI158" s="2078"/>
      <c r="EJ158" s="1360"/>
      <c r="EK158" s="1395"/>
      <c r="EL158" s="1322"/>
      <c r="EM158" s="1379"/>
      <c r="EN158" s="1397"/>
      <c r="EO158" s="1323"/>
    </row>
    <row r="159" spans="1:174" s="1982" customFormat="1" ht="11.25" customHeight="1" x14ac:dyDescent="0.2">
      <c r="A159" s="1907"/>
      <c r="B159" s="1332"/>
      <c r="C159" s="1322"/>
      <c r="D159" s="1322"/>
      <c r="E159" s="1333"/>
      <c r="F159" s="1322"/>
      <c r="G159" s="1321"/>
      <c r="H159" s="1908"/>
      <c r="I159" s="1321"/>
      <c r="J159" s="1908"/>
      <c r="K159" s="1333"/>
      <c r="L159" s="1335"/>
      <c r="M159" s="1909"/>
      <c r="N159" s="1336"/>
      <c r="O159" s="1910"/>
      <c r="P159" s="1333"/>
      <c r="Q159" s="1332"/>
      <c r="R159" s="1911"/>
      <c r="S159" s="1912"/>
      <c r="T159" s="1337"/>
      <c r="U159" s="1338"/>
      <c r="V159" s="1913"/>
      <c r="W159" s="1914"/>
      <c r="X159" s="1915"/>
      <c r="Y159" s="1340"/>
      <c r="Z159" s="1340"/>
      <c r="AA159" s="1341"/>
      <c r="AB159" s="1916"/>
      <c r="AC159" s="1343"/>
      <c r="AD159" s="1344"/>
      <c r="AE159" s="1345"/>
      <c r="AF159" s="1346"/>
      <c r="AG159" s="1346"/>
      <c r="AH159" s="1358"/>
      <c r="AI159" s="1359"/>
      <c r="AJ159" s="1360"/>
      <c r="AK159" s="1359"/>
      <c r="AL159" s="1334"/>
      <c r="AM159" s="1351"/>
      <c r="AN159" s="1352"/>
      <c r="AO159" s="1353"/>
      <c r="AP159" s="1354"/>
      <c r="AQ159" s="1355"/>
      <c r="AR159" s="1356"/>
      <c r="AS159" s="1357"/>
      <c r="AT159" s="1358"/>
      <c r="AU159" s="2109"/>
      <c r="AV159" s="1360"/>
      <c r="AW159" s="1359"/>
      <c r="AX159" s="1334"/>
      <c r="AY159" s="1323"/>
      <c r="AZ159" s="1917"/>
      <c r="BA159" s="1362"/>
      <c r="BB159" s="1363"/>
      <c r="BC159" s="1918"/>
      <c r="BD159" s="1919"/>
      <c r="BE159" s="1919"/>
      <c r="BF159" s="1364"/>
      <c r="BG159" s="1365"/>
      <c r="BH159" s="1920"/>
      <c r="BI159" s="1921"/>
      <c r="BJ159" s="1367"/>
      <c r="BK159" s="1922"/>
      <c r="BL159" s="1367"/>
      <c r="BM159" s="1923"/>
      <c r="BN159" s="1351"/>
      <c r="BO159" s="1369"/>
      <c r="BP159" s="1370"/>
      <c r="BQ159" s="1371"/>
      <c r="BR159" s="1366"/>
      <c r="BS159" s="1359"/>
      <c r="BT159" s="1924"/>
      <c r="BU159" s="1359"/>
      <c r="BV159" s="1334"/>
      <c r="BW159" s="1373"/>
      <c r="BX159" s="1374"/>
      <c r="BY159" s="1400"/>
      <c r="BZ159" s="1364"/>
      <c r="CA159" s="1375"/>
      <c r="CB159" s="1376"/>
      <c r="CC159" s="1377"/>
      <c r="CD159" s="1341"/>
      <c r="CE159" s="1322"/>
      <c r="CF159" s="1322"/>
      <c r="CG159" s="1401"/>
      <c r="CH159" s="1322"/>
      <c r="CI159" s="1925"/>
      <c r="CJ159" s="1322"/>
      <c r="CK159" s="1379"/>
      <c r="CL159" s="1380"/>
      <c r="CM159" s="1381"/>
      <c r="CN159" s="1380"/>
      <c r="CO159" s="1382"/>
      <c r="CP159" s="1379"/>
      <c r="CQ159" s="1380"/>
      <c r="CR159" s="1381"/>
      <c r="CS159" s="1380"/>
      <c r="CT159" s="1382"/>
      <c r="CU159" s="1383"/>
      <c r="CV159" s="1384"/>
      <c r="CW159" s="1385"/>
      <c r="CX159" s="1386"/>
      <c r="CY159" s="1385"/>
      <c r="CZ159" s="1386"/>
      <c r="DA159" s="1385"/>
      <c r="DB159" s="1386"/>
      <c r="DC159" s="1387"/>
      <c r="DD159" s="1388"/>
      <c r="DE159" s="1388"/>
      <c r="DF159" s="1341"/>
      <c r="DG159" s="1341"/>
      <c r="DH159" s="1341"/>
      <c r="DI159" s="1341"/>
      <c r="DJ159" s="1341"/>
      <c r="DK159" s="1341"/>
      <c r="DL159" s="1364"/>
      <c r="DM159" s="1380"/>
      <c r="DN159" s="1389"/>
      <c r="DO159" s="1987"/>
      <c r="DP159" s="2067"/>
      <c r="DQ159" s="1382"/>
      <c r="DR159" s="1382"/>
      <c r="DS159" s="1391"/>
      <c r="DT159" s="1392"/>
      <c r="DU159" s="1393"/>
      <c r="DV159" s="1333"/>
      <c r="DW159" s="1394"/>
      <c r="DX159" s="1912"/>
      <c r="DY159" s="1394"/>
      <c r="DZ159" s="2111"/>
      <c r="EA159" s="1360"/>
      <c r="EB159" s="2078"/>
      <c r="EC159" s="1360"/>
      <c r="ED159" s="1395"/>
      <c r="EE159" s="1360"/>
      <c r="EF159" s="1396"/>
      <c r="EG159" s="2111"/>
      <c r="EH159" s="1360"/>
      <c r="EI159" s="2078"/>
      <c r="EJ159" s="1360"/>
      <c r="EK159" s="1395"/>
      <c r="EL159" s="1322"/>
      <c r="EM159" s="1379"/>
      <c r="EN159" s="1397"/>
      <c r="EO159" s="1323"/>
      <c r="EP159" s="1398"/>
      <c r="EQ159" s="1398"/>
      <c r="ER159" s="1398"/>
      <c r="ES159" s="1398"/>
      <c r="ET159" s="1398"/>
      <c r="EU159" s="1398"/>
      <c r="EV159" s="1398"/>
      <c r="EW159" s="1398"/>
      <c r="EX159" s="1398"/>
      <c r="EY159" s="1398"/>
      <c r="EZ159" s="1398"/>
      <c r="FA159" s="1398"/>
      <c r="FB159" s="1398"/>
      <c r="FC159" s="1398"/>
      <c r="FD159" s="1398"/>
      <c r="FE159" s="1398"/>
      <c r="FF159" s="1398"/>
      <c r="FG159" s="1398"/>
      <c r="FH159" s="1398"/>
      <c r="FI159" s="1398"/>
      <c r="FJ159" s="1398"/>
      <c r="FK159" s="1398"/>
      <c r="FL159" s="1398"/>
      <c r="FM159" s="1926"/>
      <c r="FN159" s="1398"/>
      <c r="FO159" s="1398"/>
      <c r="FP159" s="1398"/>
      <c r="FQ159" s="1398"/>
      <c r="FR159" s="1398"/>
    </row>
    <row r="160" spans="1:174" s="1398" customFormat="1" ht="11.25" customHeight="1" x14ac:dyDescent="0.2">
      <c r="A160" s="1907"/>
      <c r="B160" s="2064"/>
      <c r="C160" s="2216"/>
      <c r="D160" s="1322"/>
      <c r="E160" s="1333"/>
      <c r="F160" s="1322"/>
      <c r="G160" s="1321"/>
      <c r="H160" s="1908"/>
      <c r="I160" s="1321"/>
      <c r="J160" s="1908"/>
      <c r="K160" s="1333"/>
      <c r="L160" s="1335"/>
      <c r="M160" s="1909"/>
      <c r="N160" s="1336"/>
      <c r="O160" s="1910"/>
      <c r="P160" s="1333"/>
      <c r="Q160" s="1332"/>
      <c r="R160" s="1911"/>
      <c r="S160" s="1912"/>
      <c r="T160" s="1337"/>
      <c r="U160" s="1338"/>
      <c r="V160" s="1913"/>
      <c r="W160" s="1914"/>
      <c r="X160" s="1915"/>
      <c r="Y160" s="1340"/>
      <c r="Z160" s="1340"/>
      <c r="AA160" s="1341"/>
      <c r="AB160" s="1916"/>
      <c r="AC160" s="1343"/>
      <c r="AD160" s="1344"/>
      <c r="AE160" s="1345"/>
      <c r="AF160" s="1346"/>
      <c r="AG160" s="1346"/>
      <c r="AH160" s="1347"/>
      <c r="AI160" s="1348"/>
      <c r="AJ160" s="1349"/>
      <c r="AK160" s="1348"/>
      <c r="AL160" s="1350"/>
      <c r="AM160" s="1351"/>
      <c r="AN160" s="1352"/>
      <c r="AO160" s="1353"/>
      <c r="AP160" s="1354"/>
      <c r="AQ160" s="1355"/>
      <c r="AR160" s="1356"/>
      <c r="AS160" s="1357"/>
      <c r="AT160" s="1358"/>
      <c r="AU160" s="1359"/>
      <c r="AV160" s="1360"/>
      <c r="AW160" s="1359"/>
      <c r="AX160" s="1334"/>
      <c r="AY160" s="1323"/>
      <c r="AZ160" s="1917"/>
      <c r="BA160" s="1362"/>
      <c r="BB160" s="1363"/>
      <c r="BC160" s="1918"/>
      <c r="BD160" s="1919"/>
      <c r="BE160" s="1919"/>
      <c r="BF160" s="1364"/>
      <c r="BG160" s="1365"/>
      <c r="BH160" s="1920"/>
      <c r="BI160" s="1921"/>
      <c r="BJ160" s="1367"/>
      <c r="BK160" s="1922"/>
      <c r="BL160" s="1367"/>
      <c r="BM160" s="1923"/>
      <c r="BN160" s="1351"/>
      <c r="BO160" s="1369"/>
      <c r="BP160" s="1370"/>
      <c r="BQ160" s="1371"/>
      <c r="BR160" s="1366"/>
      <c r="BS160" s="1359"/>
      <c r="BT160" s="1924"/>
      <c r="BU160" s="1359"/>
      <c r="BV160" s="1334"/>
      <c r="BW160" s="1373"/>
      <c r="BX160" s="1374"/>
      <c r="BY160" s="1400"/>
      <c r="BZ160" s="1364"/>
      <c r="CA160" s="1375"/>
      <c r="CB160" s="1376"/>
      <c r="CC160" s="1377"/>
      <c r="CD160" s="1341"/>
      <c r="CE160" s="1322"/>
      <c r="CF160" s="1322"/>
      <c r="CG160" s="1401"/>
      <c r="CH160" s="1322"/>
      <c r="CI160" s="1925"/>
      <c r="CJ160" s="1322"/>
      <c r="CK160" s="1379"/>
      <c r="CL160" s="1380"/>
      <c r="CM160" s="1381"/>
      <c r="CN160" s="1380"/>
      <c r="CO160" s="1382"/>
      <c r="CP160" s="1379"/>
      <c r="CQ160" s="1380"/>
      <c r="CR160" s="1381"/>
      <c r="CS160" s="1380"/>
      <c r="CT160" s="1382"/>
      <c r="CU160" s="1383"/>
      <c r="CV160" s="1384"/>
      <c r="CW160" s="1385"/>
      <c r="CX160" s="1386"/>
      <c r="CY160" s="1385"/>
      <c r="CZ160" s="1386"/>
      <c r="DA160" s="1385"/>
      <c r="DB160" s="1386"/>
      <c r="DC160" s="1387"/>
      <c r="DD160" s="1388"/>
      <c r="DE160" s="1388"/>
      <c r="DF160" s="1341"/>
      <c r="DG160" s="1341"/>
      <c r="DH160" s="1341"/>
      <c r="DI160" s="1341"/>
      <c r="DJ160" s="1341"/>
      <c r="DK160" s="1341"/>
      <c r="DL160" s="1364"/>
      <c r="DM160" s="1380"/>
      <c r="DN160" s="1389"/>
      <c r="DO160" s="1322"/>
      <c r="DP160" s="1390"/>
      <c r="DQ160" s="1389"/>
      <c r="DR160" s="1389"/>
      <c r="DS160" s="2076"/>
      <c r="DT160" s="1333"/>
      <c r="DU160" s="1393"/>
      <c r="DV160" s="1323"/>
      <c r="DW160" s="1394"/>
      <c r="DX160" s="1912"/>
      <c r="DY160" s="1394"/>
      <c r="DZ160" s="1358"/>
      <c r="EA160" s="1360"/>
      <c r="EB160" s="1360"/>
      <c r="EC160" s="1360"/>
      <c r="ED160" s="1395"/>
      <c r="EE160" s="1360"/>
      <c r="EF160" s="1396"/>
      <c r="EG160" s="1358"/>
      <c r="EH160" s="1360"/>
      <c r="EI160" s="1360"/>
      <c r="EJ160" s="1360"/>
      <c r="EK160" s="1395"/>
      <c r="EL160" s="1322"/>
      <c r="EM160" s="1379"/>
      <c r="EN160" s="1397"/>
      <c r="EO160" s="1323"/>
    </row>
    <row r="161" spans="1:174" s="1398" customFormat="1" ht="11.25" customHeight="1" x14ac:dyDescent="0.2">
      <c r="A161" s="1907"/>
      <c r="B161" s="1332"/>
      <c r="C161" s="1322"/>
      <c r="D161" s="1322"/>
      <c r="E161" s="1333"/>
      <c r="F161" s="1322"/>
      <c r="G161" s="1321"/>
      <c r="H161" s="1908"/>
      <c r="I161" s="1321"/>
      <c r="J161" s="1908"/>
      <c r="K161" s="1333"/>
      <c r="L161" s="1335"/>
      <c r="M161" s="1909"/>
      <c r="N161" s="1336"/>
      <c r="O161" s="1910"/>
      <c r="P161" s="1333"/>
      <c r="Q161" s="1332"/>
      <c r="R161" s="1911"/>
      <c r="S161" s="1912"/>
      <c r="T161" s="1337"/>
      <c r="U161" s="1338"/>
      <c r="V161" s="1913"/>
      <c r="W161" s="1914"/>
      <c r="X161" s="1915"/>
      <c r="Y161" s="1340"/>
      <c r="Z161" s="1340"/>
      <c r="AA161" s="1341"/>
      <c r="AB161" s="1916"/>
      <c r="AC161" s="1343"/>
      <c r="AD161" s="1344"/>
      <c r="AE161" s="1345"/>
      <c r="AF161" s="1353"/>
      <c r="AG161" s="1357"/>
      <c r="AH161" s="1347"/>
      <c r="AI161" s="1348"/>
      <c r="AJ161" s="1349"/>
      <c r="AK161" s="1348"/>
      <c r="AL161" s="1350"/>
      <c r="AM161" s="1351"/>
      <c r="AN161" s="1352"/>
      <c r="AO161" s="2163"/>
      <c r="AP161" s="2164"/>
      <c r="AQ161" s="2165"/>
      <c r="AR161" s="2229"/>
      <c r="AS161" s="1357"/>
      <c r="AT161" s="1358"/>
      <c r="AU161" s="1359"/>
      <c r="AV161" s="1360"/>
      <c r="AW161" s="1359"/>
      <c r="AX161" s="1334"/>
      <c r="AY161" s="1323"/>
      <c r="AZ161" s="1917"/>
      <c r="BA161" s="1362"/>
      <c r="BB161" s="1363"/>
      <c r="BC161" s="1918"/>
      <c r="BD161" s="1919"/>
      <c r="BE161" s="1919"/>
      <c r="BF161" s="1364"/>
      <c r="BG161" s="1365"/>
      <c r="BH161" s="1920"/>
      <c r="BI161" s="1921"/>
      <c r="BJ161" s="1367"/>
      <c r="BK161" s="1922"/>
      <c r="BL161" s="1367"/>
      <c r="BM161" s="1923"/>
      <c r="BN161" s="1351"/>
      <c r="BO161" s="1369"/>
      <c r="BP161" s="1370"/>
      <c r="BQ161" s="1371"/>
      <c r="BR161" s="1366"/>
      <c r="BS161" s="1359"/>
      <c r="BT161" s="1924"/>
      <c r="BU161" s="1359"/>
      <c r="BV161" s="1334"/>
      <c r="BW161" s="1373"/>
      <c r="BX161" s="1374"/>
      <c r="BY161" s="1400"/>
      <c r="BZ161" s="1364"/>
      <c r="CA161" s="1375"/>
      <c r="CB161" s="1376"/>
      <c r="CC161" s="1377"/>
      <c r="CD161" s="1341"/>
      <c r="CE161" s="1322"/>
      <c r="CF161" s="1322"/>
      <c r="CG161" s="1401"/>
      <c r="CH161" s="1322"/>
      <c r="CI161" s="1925"/>
      <c r="CJ161" s="1322"/>
      <c r="CK161" s="1379"/>
      <c r="CL161" s="1380"/>
      <c r="CM161" s="1381"/>
      <c r="CN161" s="1380"/>
      <c r="CO161" s="1382"/>
      <c r="CP161" s="1379"/>
      <c r="CQ161" s="1380"/>
      <c r="CR161" s="1381"/>
      <c r="CS161" s="1380"/>
      <c r="CT161" s="1382"/>
      <c r="CU161" s="1383"/>
      <c r="CV161" s="1384"/>
      <c r="CW161" s="1385"/>
      <c r="CX161" s="1386"/>
      <c r="CY161" s="1385"/>
      <c r="CZ161" s="1386"/>
      <c r="DA161" s="1385"/>
      <c r="DB161" s="1386"/>
      <c r="DC161" s="1387"/>
      <c r="DD161" s="1388"/>
      <c r="DE161" s="1388"/>
      <c r="DF161" s="1341"/>
      <c r="DG161" s="1341"/>
      <c r="DH161" s="1341"/>
      <c r="DI161" s="1341"/>
      <c r="DJ161" s="1341"/>
      <c r="DK161" s="1341"/>
      <c r="DL161" s="1364"/>
      <c r="DM161" s="1380"/>
      <c r="DN161" s="1389"/>
      <c r="DO161" s="1987"/>
      <c r="DP161" s="2067"/>
      <c r="DQ161" s="1382"/>
      <c r="DR161" s="1382"/>
      <c r="DS161" s="1391"/>
      <c r="DT161" s="1392"/>
      <c r="DU161" s="1393"/>
      <c r="DV161" s="1323"/>
      <c r="DW161" s="1394"/>
      <c r="DX161" s="1912"/>
      <c r="DY161" s="1394"/>
      <c r="DZ161" s="1358"/>
      <c r="EA161" s="1360"/>
      <c r="EB161" s="1360"/>
      <c r="EC161" s="1360"/>
      <c r="ED161" s="1395"/>
      <c r="EE161" s="1360"/>
      <c r="EF161" s="1396"/>
      <c r="EG161" s="1358"/>
      <c r="EH161" s="1360"/>
      <c r="EI161" s="1360"/>
      <c r="EJ161" s="1360"/>
      <c r="EK161" s="1395"/>
      <c r="EL161" s="1322"/>
      <c r="EM161" s="1379"/>
      <c r="EN161" s="1397"/>
      <c r="EO161" s="1323"/>
      <c r="FM161" s="2215"/>
    </row>
    <row r="162" spans="1:174" s="1398" customFormat="1" ht="11.25" customHeight="1" x14ac:dyDescent="0.2">
      <c r="A162" s="1907"/>
      <c r="B162" s="1907"/>
      <c r="C162" s="1907"/>
      <c r="D162" s="1907"/>
      <c r="E162" s="2245"/>
      <c r="F162" s="1907"/>
      <c r="G162" s="2246"/>
      <c r="H162" s="2247"/>
      <c r="I162" s="2246"/>
      <c r="J162" s="2247"/>
      <c r="K162" s="2245"/>
      <c r="L162" s="2248"/>
      <c r="M162" s="2249"/>
      <c r="N162" s="1336"/>
      <c r="O162" s="1910"/>
      <c r="P162" s="1333"/>
      <c r="Q162" s="1332"/>
      <c r="R162" s="1911"/>
      <c r="S162" s="1912"/>
      <c r="T162" s="1337"/>
      <c r="U162" s="1338"/>
      <c r="V162" s="1913"/>
      <c r="W162" s="1914"/>
      <c r="X162" s="1915"/>
      <c r="Y162" s="1340"/>
      <c r="Z162" s="1340"/>
      <c r="AA162" s="1341"/>
      <c r="AB162" s="1916"/>
      <c r="AC162" s="1343"/>
      <c r="AD162" s="1344"/>
      <c r="AE162" s="1345"/>
      <c r="AF162" s="1346"/>
      <c r="AG162" s="1346"/>
      <c r="AH162" s="1347"/>
      <c r="AI162" s="1348"/>
      <c r="AJ162" s="1349"/>
      <c r="AK162" s="1348"/>
      <c r="AL162" s="1350"/>
      <c r="AM162" s="1351"/>
      <c r="AN162" s="1352"/>
      <c r="AO162" s="1353"/>
      <c r="AP162" s="1354"/>
      <c r="AQ162" s="1355"/>
      <c r="AR162" s="1356"/>
      <c r="AS162" s="1357"/>
      <c r="AT162" s="1358"/>
      <c r="AU162" s="1359"/>
      <c r="AV162" s="1360"/>
      <c r="AW162" s="1359"/>
      <c r="AX162" s="1334"/>
      <c r="AY162" s="1323"/>
      <c r="AZ162" s="1917"/>
      <c r="BA162" s="1362"/>
      <c r="BB162" s="1363"/>
      <c r="BC162" s="1918"/>
      <c r="BD162" s="1919"/>
      <c r="BE162" s="1919"/>
      <c r="BF162" s="1364"/>
      <c r="BG162" s="1365"/>
      <c r="BH162" s="1920"/>
      <c r="BI162" s="1921"/>
      <c r="BJ162" s="1367"/>
      <c r="BK162" s="1922"/>
      <c r="BL162" s="1367"/>
      <c r="BM162" s="1923"/>
      <c r="BN162" s="1351"/>
      <c r="BO162" s="1369"/>
      <c r="BP162" s="1370"/>
      <c r="BQ162" s="1371"/>
      <c r="BR162" s="1366"/>
      <c r="BS162" s="1359"/>
      <c r="BT162" s="1924"/>
      <c r="BU162" s="1359"/>
      <c r="BV162" s="1334"/>
      <c r="BW162" s="1373"/>
      <c r="BX162" s="1374"/>
      <c r="BY162" s="1400"/>
      <c r="BZ162" s="1364"/>
      <c r="CA162" s="1375"/>
      <c r="CB162" s="1376"/>
      <c r="CC162" s="1377"/>
      <c r="CD162" s="1341"/>
      <c r="CE162" s="1322"/>
      <c r="CF162" s="1322"/>
      <c r="CG162" s="1401"/>
      <c r="CH162" s="1322"/>
      <c r="CI162" s="1925"/>
      <c r="CJ162" s="1322"/>
      <c r="CK162" s="1379"/>
      <c r="CL162" s="1380"/>
      <c r="CM162" s="1381"/>
      <c r="CN162" s="1380"/>
      <c r="CO162" s="1382"/>
      <c r="CP162" s="1379"/>
      <c r="CQ162" s="1380"/>
      <c r="CR162" s="1381"/>
      <c r="CS162" s="1380"/>
      <c r="CT162" s="1382"/>
      <c r="CU162" s="1383"/>
      <c r="CV162" s="1384"/>
      <c r="CW162" s="1385"/>
      <c r="CX162" s="1386"/>
      <c r="CY162" s="1385"/>
      <c r="CZ162" s="1386"/>
      <c r="DA162" s="1385"/>
      <c r="DB162" s="1386"/>
      <c r="DC162" s="1387"/>
      <c r="DD162" s="1388"/>
      <c r="DE162" s="1388"/>
      <c r="DF162" s="1341"/>
      <c r="DG162" s="1341"/>
      <c r="DH162" s="1341"/>
      <c r="DI162" s="1341"/>
      <c r="DJ162" s="1341"/>
      <c r="DK162" s="1341"/>
      <c r="DL162" s="1364"/>
      <c r="DM162" s="1380"/>
      <c r="DN162" s="1389"/>
      <c r="DO162" s="1987"/>
      <c r="DP162" s="2067"/>
      <c r="DQ162" s="1382"/>
      <c r="DR162" s="1389"/>
      <c r="DS162" s="2076"/>
      <c r="DT162" s="1333"/>
      <c r="DU162" s="1393"/>
      <c r="DV162" s="1323"/>
      <c r="DW162" s="1394"/>
      <c r="DX162" s="1912"/>
      <c r="DY162" s="1394"/>
      <c r="DZ162" s="1358"/>
      <c r="EA162" s="1360"/>
      <c r="EB162" s="1360"/>
      <c r="EC162" s="1360"/>
      <c r="ED162" s="1395"/>
      <c r="EE162" s="1360"/>
      <c r="EF162" s="1396"/>
      <c r="EG162" s="1358"/>
      <c r="EH162" s="1360"/>
      <c r="EI162" s="1360"/>
      <c r="EJ162" s="1360"/>
      <c r="EK162" s="1395"/>
      <c r="EL162" s="1322"/>
      <c r="EM162" s="1379"/>
      <c r="EN162" s="1397"/>
      <c r="EO162" s="1323"/>
      <c r="FN162" s="2228"/>
      <c r="FO162" s="2228"/>
      <c r="FP162" s="2228"/>
      <c r="FQ162" s="2228"/>
      <c r="FR162" s="2228"/>
    </row>
    <row r="163" spans="1:174" s="1398" customFormat="1" ht="11.25" customHeight="1" x14ac:dyDescent="0.2">
      <c r="A163" s="1907"/>
      <c r="B163" s="2064"/>
      <c r="C163" s="2216"/>
      <c r="D163" s="1322"/>
      <c r="E163" s="1333"/>
      <c r="F163" s="1322"/>
      <c r="G163" s="1321"/>
      <c r="H163" s="1908"/>
      <c r="I163" s="1321"/>
      <c r="J163" s="1908"/>
      <c r="K163" s="1333"/>
      <c r="L163" s="1335"/>
      <c r="M163" s="1909"/>
      <c r="N163" s="1336"/>
      <c r="O163" s="1910"/>
      <c r="P163" s="1333"/>
      <c r="Q163" s="1332"/>
      <c r="R163" s="1911"/>
      <c r="S163" s="1912"/>
      <c r="T163" s="1337"/>
      <c r="U163" s="1338"/>
      <c r="V163" s="1913"/>
      <c r="W163" s="1914"/>
      <c r="X163" s="1915"/>
      <c r="Y163" s="1340"/>
      <c r="Z163" s="1340"/>
      <c r="AA163" s="1341"/>
      <c r="AB163" s="1916"/>
      <c r="AC163" s="1343"/>
      <c r="AD163" s="1344"/>
      <c r="AE163" s="1345"/>
      <c r="AF163" s="1353"/>
      <c r="AG163" s="1357"/>
      <c r="AH163" s="1347"/>
      <c r="AI163" s="1348"/>
      <c r="AJ163" s="1349"/>
      <c r="AK163" s="1348"/>
      <c r="AL163" s="1350"/>
      <c r="AM163" s="1351"/>
      <c r="AN163" s="1352"/>
      <c r="AO163" s="2163"/>
      <c r="AP163" s="2164"/>
      <c r="AQ163" s="2165"/>
      <c r="AR163" s="2229"/>
      <c r="AS163" s="1357"/>
      <c r="AT163" s="1358"/>
      <c r="AU163" s="1359"/>
      <c r="AV163" s="1360"/>
      <c r="AW163" s="1359"/>
      <c r="AX163" s="1334"/>
      <c r="AY163" s="1323"/>
      <c r="AZ163" s="1917"/>
      <c r="BA163" s="1362"/>
      <c r="BB163" s="1363"/>
      <c r="BC163" s="1918"/>
      <c r="BD163" s="1919"/>
      <c r="BE163" s="1919"/>
      <c r="BF163" s="1364"/>
      <c r="BG163" s="1365"/>
      <c r="BH163" s="1920"/>
      <c r="BI163" s="1921"/>
      <c r="BJ163" s="1367"/>
      <c r="BK163" s="1922"/>
      <c r="BL163" s="1367"/>
      <c r="BM163" s="1923"/>
      <c r="BN163" s="1351"/>
      <c r="BO163" s="1369"/>
      <c r="BP163" s="1370"/>
      <c r="BQ163" s="1371"/>
      <c r="BR163" s="1366"/>
      <c r="BS163" s="1359"/>
      <c r="BT163" s="1924"/>
      <c r="BU163" s="1359"/>
      <c r="BV163" s="1334"/>
      <c r="BW163" s="1373"/>
      <c r="BX163" s="1374"/>
      <c r="BY163" s="1400"/>
      <c r="BZ163" s="1364"/>
      <c r="CA163" s="1375"/>
      <c r="CB163" s="1376"/>
      <c r="CC163" s="1377"/>
      <c r="CD163" s="1341"/>
      <c r="CE163" s="1322"/>
      <c r="CF163" s="1322"/>
      <c r="CG163" s="1401"/>
      <c r="CH163" s="1322"/>
      <c r="CI163" s="1925"/>
      <c r="CJ163" s="1322"/>
      <c r="CK163" s="1379"/>
      <c r="CL163" s="1380"/>
      <c r="CM163" s="1381"/>
      <c r="CN163" s="1380"/>
      <c r="CO163" s="1382"/>
      <c r="CP163" s="1379"/>
      <c r="CQ163" s="1380"/>
      <c r="CR163" s="1381"/>
      <c r="CS163" s="1380"/>
      <c r="CT163" s="1382"/>
      <c r="CU163" s="1383"/>
      <c r="CV163" s="1384"/>
      <c r="CW163" s="1385"/>
      <c r="CX163" s="1386"/>
      <c r="CY163" s="1385"/>
      <c r="CZ163" s="1386"/>
      <c r="DA163" s="1385"/>
      <c r="DB163" s="1386"/>
      <c r="DC163" s="1387"/>
      <c r="DD163" s="1388"/>
      <c r="DE163" s="1388"/>
      <c r="DF163" s="1341"/>
      <c r="DG163" s="1341"/>
      <c r="DH163" s="1341"/>
      <c r="DI163" s="1341"/>
      <c r="DJ163" s="1341"/>
      <c r="DK163" s="1341"/>
      <c r="DL163" s="1364"/>
      <c r="DM163" s="1380"/>
      <c r="DN163" s="1389"/>
      <c r="DO163" s="1987"/>
      <c r="DP163" s="2067"/>
      <c r="DQ163" s="1382"/>
      <c r="DR163" s="1389"/>
      <c r="DS163" s="2076"/>
      <c r="DT163" s="1333"/>
      <c r="DU163" s="1393"/>
      <c r="DV163" s="1323"/>
      <c r="DW163" s="1394"/>
      <c r="DX163" s="1912"/>
      <c r="DY163" s="1394"/>
      <c r="DZ163" s="1358"/>
      <c r="EA163" s="1360"/>
      <c r="EB163" s="1360"/>
      <c r="EC163" s="1360"/>
      <c r="ED163" s="1395"/>
      <c r="EE163" s="1360"/>
      <c r="EF163" s="1396"/>
      <c r="EG163" s="1358"/>
      <c r="EH163" s="1360"/>
      <c r="EI163" s="1360"/>
      <c r="EJ163" s="1360"/>
      <c r="EK163" s="1395"/>
      <c r="EL163" s="1322"/>
      <c r="EM163" s="1379"/>
      <c r="EN163" s="1397"/>
      <c r="EO163" s="1323"/>
      <c r="FM163" s="2091"/>
      <c r="FN163" s="2228"/>
      <c r="FO163" s="2228"/>
      <c r="FP163" s="2228"/>
      <c r="FQ163" s="2228"/>
      <c r="FR163" s="2228"/>
    </row>
    <row r="164" spans="1:174" s="1398" customFormat="1" ht="11.25" customHeight="1" x14ac:dyDescent="0.2">
      <c r="A164" s="1907"/>
      <c r="B164" s="1332"/>
      <c r="C164" s="1322"/>
      <c r="D164" s="1322"/>
      <c r="E164" s="1333"/>
      <c r="F164" s="1322"/>
      <c r="G164" s="1321"/>
      <c r="H164" s="1908"/>
      <c r="I164" s="1321"/>
      <c r="J164" s="1908"/>
      <c r="K164" s="1333"/>
      <c r="L164" s="1335"/>
      <c r="M164" s="1909"/>
      <c r="N164" s="1336"/>
      <c r="O164" s="1910"/>
      <c r="P164" s="1333"/>
      <c r="Q164" s="1332"/>
      <c r="R164" s="1911"/>
      <c r="S164" s="1912"/>
      <c r="T164" s="1337"/>
      <c r="U164" s="1338"/>
      <c r="V164" s="1913"/>
      <c r="W164" s="1914"/>
      <c r="X164" s="1915"/>
      <c r="Y164" s="1340"/>
      <c r="Z164" s="1340"/>
      <c r="AA164" s="1341"/>
      <c r="AB164" s="1916"/>
      <c r="AC164" s="1343"/>
      <c r="AD164" s="1344"/>
      <c r="AE164" s="1345"/>
      <c r="AF164" s="1353"/>
      <c r="AG164" s="1357"/>
      <c r="AH164" s="1347"/>
      <c r="AI164" s="1348"/>
      <c r="AJ164" s="1349"/>
      <c r="AK164" s="1348"/>
      <c r="AL164" s="1350"/>
      <c r="AM164" s="1351"/>
      <c r="AN164" s="1352"/>
      <c r="AO164" s="2163"/>
      <c r="AP164" s="2164"/>
      <c r="AQ164" s="2165"/>
      <c r="AR164" s="2229"/>
      <c r="AS164" s="1357"/>
      <c r="AT164" s="1358"/>
      <c r="AU164" s="1359"/>
      <c r="AV164" s="1360"/>
      <c r="AW164" s="1359"/>
      <c r="AX164" s="1334"/>
      <c r="AY164" s="1323"/>
      <c r="AZ164" s="1917"/>
      <c r="BA164" s="1362"/>
      <c r="BB164" s="1363"/>
      <c r="BC164" s="1918"/>
      <c r="BD164" s="1919"/>
      <c r="BE164" s="1919"/>
      <c r="BF164" s="1364"/>
      <c r="BG164" s="1365"/>
      <c r="BH164" s="1920"/>
      <c r="BI164" s="1921"/>
      <c r="BJ164" s="1367"/>
      <c r="BK164" s="1922"/>
      <c r="BL164" s="1367"/>
      <c r="BM164" s="1923"/>
      <c r="BN164" s="1351"/>
      <c r="BO164" s="1369"/>
      <c r="BP164" s="1370"/>
      <c r="BQ164" s="1371"/>
      <c r="BR164" s="1366"/>
      <c r="BS164" s="1359"/>
      <c r="BT164" s="1924"/>
      <c r="BU164" s="1359"/>
      <c r="BV164" s="1334"/>
      <c r="BW164" s="1373"/>
      <c r="BX164" s="1374"/>
      <c r="BY164" s="1400"/>
      <c r="BZ164" s="1364"/>
      <c r="CA164" s="1375"/>
      <c r="CB164" s="1376"/>
      <c r="CC164" s="1377"/>
      <c r="CD164" s="1341"/>
      <c r="CE164" s="1322"/>
      <c r="CF164" s="1322"/>
      <c r="CG164" s="1401"/>
      <c r="CH164" s="1322"/>
      <c r="CI164" s="1925"/>
      <c r="CJ164" s="1322"/>
      <c r="CK164" s="1379"/>
      <c r="CL164" s="1380"/>
      <c r="CM164" s="1381"/>
      <c r="CN164" s="1380"/>
      <c r="CO164" s="1382"/>
      <c r="CP164" s="1379"/>
      <c r="CQ164" s="1380"/>
      <c r="CR164" s="1381"/>
      <c r="CS164" s="1380"/>
      <c r="CT164" s="1382"/>
      <c r="CU164" s="1383"/>
      <c r="CV164" s="1384"/>
      <c r="CW164" s="1385"/>
      <c r="CX164" s="1386"/>
      <c r="CY164" s="1385"/>
      <c r="CZ164" s="1386"/>
      <c r="DA164" s="1385"/>
      <c r="DB164" s="1386"/>
      <c r="DC164" s="1387"/>
      <c r="DD164" s="1388"/>
      <c r="DE164" s="1388"/>
      <c r="DF164" s="1341"/>
      <c r="DG164" s="1341"/>
      <c r="DH164" s="1341"/>
      <c r="DI164" s="1341"/>
      <c r="DJ164" s="1341"/>
      <c r="DK164" s="1341"/>
      <c r="DL164" s="1364"/>
      <c r="DM164" s="1380"/>
      <c r="DN164" s="1389"/>
      <c r="DO164" s="1987"/>
      <c r="DP164" s="2067"/>
      <c r="DQ164" s="1382"/>
      <c r="DR164" s="1382"/>
      <c r="DS164" s="1391"/>
      <c r="DT164" s="1392"/>
      <c r="DU164" s="1393"/>
      <c r="DV164" s="1323"/>
      <c r="DW164" s="1394"/>
      <c r="DX164" s="1912"/>
      <c r="DY164" s="1394"/>
      <c r="DZ164" s="1358"/>
      <c r="EA164" s="1360"/>
      <c r="EB164" s="1360"/>
      <c r="EC164" s="1360"/>
      <c r="ED164" s="1395"/>
      <c r="EE164" s="1360"/>
      <c r="EF164" s="1396"/>
      <c r="EG164" s="1358"/>
      <c r="EH164" s="1360"/>
      <c r="EI164" s="1360"/>
      <c r="EJ164" s="1360"/>
      <c r="EK164" s="1395"/>
      <c r="EL164" s="1322"/>
      <c r="EM164" s="1379"/>
      <c r="EN164" s="1397"/>
      <c r="EO164" s="1323"/>
      <c r="FN164" s="2228"/>
      <c r="FO164" s="2228"/>
      <c r="FP164" s="2228"/>
      <c r="FQ164" s="2228"/>
      <c r="FR164" s="2228"/>
    </row>
    <row r="165" spans="1:174" s="1398" customFormat="1" ht="11.25" customHeight="1" x14ac:dyDescent="0.2">
      <c r="A165" s="1907"/>
      <c r="B165" s="2064"/>
      <c r="C165" s="1322"/>
      <c r="D165" s="1322"/>
      <c r="E165" s="1333"/>
      <c r="F165" s="1322"/>
      <c r="G165" s="1321"/>
      <c r="H165" s="1908"/>
      <c r="I165" s="1321"/>
      <c r="J165" s="1908"/>
      <c r="K165" s="1333"/>
      <c r="L165" s="1335"/>
      <c r="M165" s="1909"/>
      <c r="N165" s="1336"/>
      <c r="O165" s="1910"/>
      <c r="P165" s="1333"/>
      <c r="Q165" s="1332"/>
      <c r="R165" s="1911"/>
      <c r="S165" s="1912"/>
      <c r="T165" s="1337"/>
      <c r="U165" s="1338"/>
      <c r="V165" s="1913"/>
      <c r="W165" s="1914"/>
      <c r="X165" s="1915"/>
      <c r="Y165" s="1340"/>
      <c r="Z165" s="1340"/>
      <c r="AA165" s="1341"/>
      <c r="AB165" s="1916"/>
      <c r="AC165" s="1343"/>
      <c r="AD165" s="1344"/>
      <c r="AE165" s="1345"/>
      <c r="AF165" s="1346"/>
      <c r="AG165" s="1346"/>
      <c r="AH165" s="1347"/>
      <c r="AI165" s="1348"/>
      <c r="AJ165" s="1349"/>
      <c r="AK165" s="1348"/>
      <c r="AL165" s="1350"/>
      <c r="AM165" s="1351"/>
      <c r="AN165" s="1352"/>
      <c r="AO165" s="1353"/>
      <c r="AP165" s="1354"/>
      <c r="AQ165" s="1355"/>
      <c r="AR165" s="1356"/>
      <c r="AS165" s="1357"/>
      <c r="AT165" s="1358"/>
      <c r="AU165" s="1359"/>
      <c r="AV165" s="1360"/>
      <c r="AW165" s="2080"/>
      <c r="AX165" s="1334"/>
      <c r="AY165" s="1323"/>
      <c r="AZ165" s="1917"/>
      <c r="BA165" s="1362"/>
      <c r="BB165" s="1363"/>
      <c r="BC165" s="1918"/>
      <c r="BD165" s="1919"/>
      <c r="BE165" s="1919"/>
      <c r="BF165" s="1364"/>
      <c r="BG165" s="1365"/>
      <c r="BH165" s="1920"/>
      <c r="BI165" s="1921"/>
      <c r="BJ165" s="1367"/>
      <c r="BK165" s="1922"/>
      <c r="BL165" s="1367"/>
      <c r="BM165" s="1923"/>
      <c r="BN165" s="1351"/>
      <c r="BO165" s="1369"/>
      <c r="BP165" s="1370"/>
      <c r="BQ165" s="1371"/>
      <c r="BR165" s="1366"/>
      <c r="BS165" s="1359"/>
      <c r="BT165" s="1924"/>
      <c r="BU165" s="1359"/>
      <c r="BV165" s="1334"/>
      <c r="BW165" s="1373"/>
      <c r="BX165" s="1374"/>
      <c r="BY165" s="1400"/>
      <c r="BZ165" s="1364"/>
      <c r="CA165" s="1375"/>
      <c r="CB165" s="1376"/>
      <c r="CC165" s="1377"/>
      <c r="CD165" s="1341"/>
      <c r="CE165" s="1322"/>
      <c r="CF165" s="1322"/>
      <c r="CG165" s="1401"/>
      <c r="CH165" s="1322"/>
      <c r="CI165" s="1925"/>
      <c r="CJ165" s="1322"/>
      <c r="CK165" s="1379"/>
      <c r="CL165" s="1380"/>
      <c r="CM165" s="1381"/>
      <c r="CN165" s="1380"/>
      <c r="CO165" s="1382"/>
      <c r="CP165" s="1379"/>
      <c r="CQ165" s="1380"/>
      <c r="CR165" s="1381"/>
      <c r="CS165" s="1380"/>
      <c r="CT165" s="1382"/>
      <c r="CU165" s="1383"/>
      <c r="CV165" s="1384"/>
      <c r="CW165" s="1385"/>
      <c r="CX165" s="1386"/>
      <c r="CY165" s="1385"/>
      <c r="CZ165" s="1386"/>
      <c r="DA165" s="1385"/>
      <c r="DB165" s="1386"/>
      <c r="DC165" s="1387"/>
      <c r="DD165" s="1388"/>
      <c r="DE165" s="1388"/>
      <c r="DF165" s="1341"/>
      <c r="DG165" s="1341"/>
      <c r="DH165" s="1341"/>
      <c r="DI165" s="1341"/>
      <c r="DJ165" s="1341"/>
      <c r="DK165" s="1341"/>
      <c r="DL165" s="1364"/>
      <c r="DM165" s="2218"/>
      <c r="DN165" s="2219"/>
      <c r="DO165" s="2082"/>
      <c r="DP165" s="2220"/>
      <c r="DQ165" s="2084"/>
      <c r="DR165" s="2087"/>
      <c r="DS165" s="2250"/>
      <c r="DT165" s="1915"/>
      <c r="DU165" s="1393"/>
      <c r="DV165" s="1323"/>
      <c r="DW165" s="1394"/>
      <c r="DX165" s="1912"/>
      <c r="DY165" s="1394"/>
      <c r="DZ165" s="1358"/>
      <c r="EA165" s="1360"/>
      <c r="EB165" s="2251"/>
      <c r="EC165" s="1360"/>
      <c r="ED165" s="1395"/>
      <c r="EE165" s="1360"/>
      <c r="EF165" s="1396"/>
      <c r="EG165" s="1358"/>
      <c r="EH165" s="1360"/>
      <c r="EI165" s="2251"/>
      <c r="EJ165" s="1360"/>
      <c r="EK165" s="1395"/>
      <c r="EL165" s="1322"/>
      <c r="EM165" s="1379"/>
      <c r="EN165" s="1397"/>
      <c r="EO165" s="1323"/>
    </row>
    <row r="166" spans="1:174" s="1982" customFormat="1" ht="11.25" customHeight="1" x14ac:dyDescent="0.2">
      <c r="A166" s="1907"/>
      <c r="B166" s="1332"/>
      <c r="C166" s="1322"/>
      <c r="D166" s="1322"/>
      <c r="E166" s="1333"/>
      <c r="F166" s="1322"/>
      <c r="G166" s="1321"/>
      <c r="H166" s="1908"/>
      <c r="I166" s="1321"/>
      <c r="J166" s="1908"/>
      <c r="K166" s="1333"/>
      <c r="L166" s="1335"/>
      <c r="M166" s="1909"/>
      <c r="N166" s="1336"/>
      <c r="O166" s="1910"/>
      <c r="P166" s="1333"/>
      <c r="Q166" s="1332"/>
      <c r="R166" s="1911"/>
      <c r="S166" s="1912"/>
      <c r="T166" s="1337"/>
      <c r="U166" s="1338"/>
      <c r="V166" s="1913"/>
      <c r="W166" s="1914"/>
      <c r="X166" s="1915"/>
      <c r="Y166" s="1340"/>
      <c r="Z166" s="1340"/>
      <c r="AA166" s="1341"/>
      <c r="AB166" s="1916"/>
      <c r="AC166" s="1343"/>
      <c r="AD166" s="1344"/>
      <c r="AE166" s="1345"/>
      <c r="AF166" s="1346"/>
      <c r="AG166" s="1346"/>
      <c r="AH166" s="1347"/>
      <c r="AI166" s="1348"/>
      <c r="AJ166" s="1349"/>
      <c r="AK166" s="1348"/>
      <c r="AL166" s="1350"/>
      <c r="AM166" s="1351"/>
      <c r="AN166" s="1352"/>
      <c r="AO166" s="1353"/>
      <c r="AP166" s="1354"/>
      <c r="AQ166" s="1355"/>
      <c r="AR166" s="1356"/>
      <c r="AS166" s="1357"/>
      <c r="AT166" s="1358"/>
      <c r="AU166" s="1359"/>
      <c r="AV166" s="1360"/>
      <c r="AW166" s="1359"/>
      <c r="AX166" s="1334"/>
      <c r="AY166" s="1323"/>
      <c r="AZ166" s="1917"/>
      <c r="BA166" s="1362"/>
      <c r="BB166" s="1363"/>
      <c r="BC166" s="1918"/>
      <c r="BD166" s="1919"/>
      <c r="BE166" s="1919"/>
      <c r="BF166" s="1364"/>
      <c r="BG166" s="1365"/>
      <c r="BH166" s="1920"/>
      <c r="BI166" s="1921"/>
      <c r="BJ166" s="1367"/>
      <c r="BK166" s="1922"/>
      <c r="BL166" s="1367"/>
      <c r="BM166" s="1923"/>
      <c r="BN166" s="1351"/>
      <c r="BO166" s="1369"/>
      <c r="BP166" s="1370"/>
      <c r="BQ166" s="1371"/>
      <c r="BR166" s="1366"/>
      <c r="BS166" s="1359"/>
      <c r="BT166" s="1924"/>
      <c r="BU166" s="1359"/>
      <c r="BV166" s="1334"/>
      <c r="BW166" s="1373"/>
      <c r="BX166" s="1374"/>
      <c r="BY166" s="1400"/>
      <c r="BZ166" s="1364"/>
      <c r="CA166" s="1375"/>
      <c r="CB166" s="1376"/>
      <c r="CC166" s="1377"/>
      <c r="CD166" s="1341"/>
      <c r="CE166" s="1322"/>
      <c r="CF166" s="1322"/>
      <c r="CG166" s="1401"/>
      <c r="CH166" s="1322"/>
      <c r="CI166" s="1322"/>
      <c r="CJ166" s="1322"/>
      <c r="CK166" s="1379"/>
      <c r="CL166" s="1380"/>
      <c r="CM166" s="1381"/>
      <c r="CN166" s="1380"/>
      <c r="CO166" s="1382"/>
      <c r="CP166" s="1379"/>
      <c r="CQ166" s="1380"/>
      <c r="CR166" s="1389"/>
      <c r="CS166" s="1380"/>
      <c r="CT166" s="1382"/>
      <c r="CU166" s="1383"/>
      <c r="CV166" s="1384"/>
      <c r="CW166" s="1385"/>
      <c r="CX166" s="1386"/>
      <c r="CY166" s="1385"/>
      <c r="CZ166" s="1386"/>
      <c r="DA166" s="1385"/>
      <c r="DB166" s="1386"/>
      <c r="DC166" s="1387"/>
      <c r="DD166" s="1388"/>
      <c r="DE166" s="1388"/>
      <c r="DF166" s="1341"/>
      <c r="DG166" s="1341"/>
      <c r="DH166" s="1341"/>
      <c r="DI166" s="1341"/>
      <c r="DJ166" s="1341"/>
      <c r="DK166" s="1341"/>
      <c r="DL166" s="1364"/>
      <c r="DM166" s="2218"/>
      <c r="DN166" s="2219"/>
      <c r="DO166" s="1987"/>
      <c r="DP166" s="2220"/>
      <c r="DQ166" s="1382"/>
      <c r="DR166" s="1389"/>
      <c r="DS166" s="2076"/>
      <c r="DT166" s="1333"/>
      <c r="DU166" s="1393"/>
      <c r="DV166" s="1323"/>
      <c r="DW166" s="1394"/>
      <c r="DX166" s="1912"/>
      <c r="DY166" s="1394"/>
      <c r="DZ166" s="1358"/>
      <c r="EA166" s="1360"/>
      <c r="EB166" s="1360"/>
      <c r="EC166" s="1360"/>
      <c r="ED166" s="1395"/>
      <c r="EE166" s="1360"/>
      <c r="EF166" s="1396"/>
      <c r="EG166" s="1358"/>
      <c r="EH166" s="1360"/>
      <c r="EI166" s="1360"/>
      <c r="EJ166" s="1360"/>
      <c r="EK166" s="1395"/>
      <c r="EL166" s="2106"/>
      <c r="EM166" s="1379"/>
      <c r="EN166" s="1397"/>
      <c r="EO166" s="1323"/>
      <c r="EP166" s="1398"/>
      <c r="EQ166" s="1398"/>
      <c r="ER166" s="1398"/>
      <c r="ES166" s="1398"/>
      <c r="ET166" s="1398"/>
      <c r="EU166" s="1398"/>
      <c r="EV166" s="1398"/>
      <c r="EW166" s="1398"/>
      <c r="EX166" s="1398"/>
      <c r="EY166" s="1398"/>
      <c r="EZ166" s="1398"/>
      <c r="FA166" s="1398"/>
      <c r="FB166" s="1398"/>
      <c r="FC166" s="1398"/>
      <c r="FD166" s="1398"/>
      <c r="FE166" s="1398"/>
      <c r="FF166" s="1398"/>
      <c r="FG166" s="1398"/>
      <c r="FH166" s="1398"/>
      <c r="FI166" s="1398"/>
      <c r="FJ166" s="1398"/>
      <c r="FK166" s="1398"/>
      <c r="FL166" s="1398"/>
      <c r="FM166" s="1398"/>
      <c r="FN166" s="1398"/>
      <c r="FO166" s="1398"/>
      <c r="FP166" s="1398"/>
      <c r="FQ166" s="1398"/>
      <c r="FR166" s="1398"/>
    </row>
    <row r="167" spans="1:174" s="1398" customFormat="1" ht="11.25" customHeight="1" x14ac:dyDescent="0.2">
      <c r="A167" s="1907"/>
      <c r="B167" s="2064"/>
      <c r="C167" s="1322"/>
      <c r="D167" s="1322"/>
      <c r="E167" s="1333"/>
      <c r="F167" s="1322"/>
      <c r="G167" s="1321"/>
      <c r="H167" s="1908"/>
      <c r="I167" s="1321"/>
      <c r="J167" s="1908"/>
      <c r="K167" s="1333"/>
      <c r="L167" s="1335"/>
      <c r="M167" s="1909"/>
      <c r="N167" s="1336"/>
      <c r="O167" s="1910"/>
      <c r="P167" s="1333"/>
      <c r="Q167" s="1332"/>
      <c r="R167" s="1911"/>
      <c r="S167" s="1912"/>
      <c r="T167" s="1337"/>
      <c r="U167" s="1338"/>
      <c r="V167" s="1913"/>
      <c r="W167" s="1914"/>
      <c r="X167" s="1915"/>
      <c r="Y167" s="1340"/>
      <c r="Z167" s="1340"/>
      <c r="AA167" s="1341"/>
      <c r="AB167" s="1916"/>
      <c r="AC167" s="1343"/>
      <c r="AD167" s="1344"/>
      <c r="AE167" s="1345"/>
      <c r="AF167" s="1346"/>
      <c r="AG167" s="1346"/>
      <c r="AH167" s="1347"/>
      <c r="AI167" s="1348"/>
      <c r="AJ167" s="1349"/>
      <c r="AK167" s="1348"/>
      <c r="AL167" s="1350"/>
      <c r="AM167" s="1351"/>
      <c r="AN167" s="1352"/>
      <c r="AO167" s="1353"/>
      <c r="AP167" s="1354"/>
      <c r="AQ167" s="1355"/>
      <c r="AR167" s="1356"/>
      <c r="AS167" s="1357"/>
      <c r="AT167" s="1358"/>
      <c r="AU167" s="1359"/>
      <c r="AV167" s="1360"/>
      <c r="AW167" s="1359"/>
      <c r="AX167" s="2252"/>
      <c r="AY167" s="2253"/>
      <c r="AZ167" s="1361"/>
      <c r="BA167" s="1362"/>
      <c r="BB167" s="1363"/>
      <c r="BC167" s="1918"/>
      <c r="BD167" s="1919"/>
      <c r="BE167" s="1919"/>
      <c r="BF167" s="1364"/>
      <c r="BG167" s="1365"/>
      <c r="BH167" s="1920"/>
      <c r="BI167" s="1921"/>
      <c r="BJ167" s="1367"/>
      <c r="BK167" s="1922"/>
      <c r="BL167" s="1367"/>
      <c r="BM167" s="1923"/>
      <c r="BN167" s="1351"/>
      <c r="BO167" s="1369"/>
      <c r="BP167" s="1370"/>
      <c r="BQ167" s="1371"/>
      <c r="BR167" s="1366"/>
      <c r="BS167" s="1359"/>
      <c r="BT167" s="1924"/>
      <c r="BU167" s="1359"/>
      <c r="BV167" s="1334"/>
      <c r="BW167" s="1373"/>
      <c r="BX167" s="1374"/>
      <c r="BY167" s="1400"/>
      <c r="BZ167" s="1364"/>
      <c r="CA167" s="1375"/>
      <c r="CB167" s="1376"/>
      <c r="CC167" s="1377"/>
      <c r="CD167" s="1341"/>
      <c r="CE167" s="1322"/>
      <c r="CF167" s="1322"/>
      <c r="CG167" s="1401"/>
      <c r="CH167" s="1322"/>
      <c r="CI167" s="1322"/>
      <c r="CJ167" s="1322"/>
      <c r="CK167" s="1379"/>
      <c r="CL167" s="1380"/>
      <c r="CM167" s="1381"/>
      <c r="CN167" s="1380"/>
      <c r="CO167" s="1382"/>
      <c r="CP167" s="1379"/>
      <c r="CQ167" s="1380"/>
      <c r="CR167" s="1381"/>
      <c r="CS167" s="1380"/>
      <c r="CT167" s="1382"/>
      <c r="CU167" s="1383"/>
      <c r="CV167" s="1384"/>
      <c r="CW167" s="1385"/>
      <c r="CX167" s="1386"/>
      <c r="CY167" s="1385"/>
      <c r="CZ167" s="1386"/>
      <c r="DA167" s="1385"/>
      <c r="DB167" s="1386"/>
      <c r="DC167" s="1387"/>
      <c r="DD167" s="1388"/>
      <c r="DE167" s="1388"/>
      <c r="DF167" s="1341"/>
      <c r="DG167" s="1341"/>
      <c r="DH167" s="1341"/>
      <c r="DI167" s="1341"/>
      <c r="DJ167" s="1341"/>
      <c r="DK167" s="1341"/>
      <c r="DL167" s="1364"/>
      <c r="DM167" s="1380"/>
      <c r="DN167" s="1389"/>
      <c r="DO167" s="1987"/>
      <c r="DP167" s="2067"/>
      <c r="DQ167" s="1382"/>
      <c r="DR167" s="1389"/>
      <c r="DS167" s="2076"/>
      <c r="DT167" s="1333"/>
      <c r="DU167" s="1393"/>
      <c r="DV167" s="1323"/>
      <c r="DW167" s="1394"/>
      <c r="DX167" s="1912"/>
      <c r="DY167" s="1394"/>
      <c r="DZ167" s="1358"/>
      <c r="EA167" s="1360"/>
      <c r="EB167" s="1360"/>
      <c r="EC167" s="1360"/>
      <c r="ED167" s="1395"/>
      <c r="EE167" s="1360"/>
      <c r="EF167" s="1396"/>
      <c r="EG167" s="1358"/>
      <c r="EH167" s="1360"/>
      <c r="EI167" s="1360"/>
      <c r="EJ167" s="1360"/>
      <c r="EK167" s="1395"/>
      <c r="EL167" s="1322"/>
      <c r="EM167" s="1379"/>
      <c r="EN167" s="1397"/>
      <c r="EO167" s="1323"/>
      <c r="FN167" s="2222"/>
      <c r="FO167" s="2222"/>
      <c r="FP167" s="2222"/>
      <c r="FQ167" s="2222"/>
      <c r="FR167" s="2222"/>
    </row>
    <row r="168" spans="1:174" s="1398" customFormat="1" ht="11.25" customHeight="1" x14ac:dyDescent="0.2">
      <c r="A168" s="1907"/>
      <c r="B168" s="1332"/>
      <c r="C168" s="1322"/>
      <c r="D168" s="1322"/>
      <c r="E168" s="1333"/>
      <c r="F168" s="1322"/>
      <c r="G168" s="1321"/>
      <c r="H168" s="1908"/>
      <c r="I168" s="1321"/>
      <c r="J168" s="1908"/>
      <c r="K168" s="1333"/>
      <c r="L168" s="1335"/>
      <c r="M168" s="1909"/>
      <c r="N168" s="1336"/>
      <c r="O168" s="1910"/>
      <c r="P168" s="1333"/>
      <c r="Q168" s="1332"/>
      <c r="R168" s="1911"/>
      <c r="S168" s="1912"/>
      <c r="T168" s="1337"/>
      <c r="U168" s="1338"/>
      <c r="V168" s="1913"/>
      <c r="W168" s="1914"/>
      <c r="X168" s="1915"/>
      <c r="Y168" s="1340"/>
      <c r="Z168" s="1340"/>
      <c r="AA168" s="1341"/>
      <c r="AB168" s="1916"/>
      <c r="AC168" s="1343"/>
      <c r="AD168" s="1344"/>
      <c r="AE168" s="1345"/>
      <c r="AF168" s="1346"/>
      <c r="AG168" s="1346"/>
      <c r="AH168" s="1358"/>
      <c r="AI168" s="1359"/>
      <c r="AJ168" s="1360"/>
      <c r="AK168" s="1359"/>
      <c r="AL168" s="1334"/>
      <c r="AM168" s="1351"/>
      <c r="AN168" s="1352"/>
      <c r="AO168" s="1353"/>
      <c r="AP168" s="1354"/>
      <c r="AQ168" s="1355"/>
      <c r="AR168" s="1356"/>
      <c r="AS168" s="1357"/>
      <c r="AT168" s="1358"/>
      <c r="AU168" s="1359"/>
      <c r="AV168" s="1360"/>
      <c r="AW168" s="1359"/>
      <c r="AX168" s="1334"/>
      <c r="AY168" s="1323"/>
      <c r="AZ168" s="1361"/>
      <c r="BA168" s="1362"/>
      <c r="BB168" s="1363"/>
      <c r="BC168" s="1918"/>
      <c r="BD168" s="1919"/>
      <c r="BE168" s="1919"/>
      <c r="BF168" s="1364"/>
      <c r="BG168" s="1365"/>
      <c r="BH168" s="1920"/>
      <c r="BI168" s="1921"/>
      <c r="BJ168" s="1367"/>
      <c r="BK168" s="1922"/>
      <c r="BL168" s="1367"/>
      <c r="BM168" s="1923"/>
      <c r="BN168" s="1351"/>
      <c r="BO168" s="1369"/>
      <c r="BP168" s="1370"/>
      <c r="BQ168" s="1371"/>
      <c r="BR168" s="1366"/>
      <c r="BS168" s="1359"/>
      <c r="BT168" s="1924"/>
      <c r="BU168" s="1359"/>
      <c r="BV168" s="1334"/>
      <c r="BW168" s="1373"/>
      <c r="BX168" s="1374"/>
      <c r="BY168" s="1400"/>
      <c r="BZ168" s="1364"/>
      <c r="CA168" s="1375"/>
      <c r="CB168" s="1376"/>
      <c r="CC168" s="1377"/>
      <c r="CD168" s="1341"/>
      <c r="CE168" s="1322"/>
      <c r="CF168" s="1322"/>
      <c r="CG168" s="1401"/>
      <c r="CH168" s="1322"/>
      <c r="CI168" s="1322"/>
      <c r="CJ168" s="1322"/>
      <c r="CK168" s="1379"/>
      <c r="CL168" s="1380"/>
      <c r="CM168" s="1381"/>
      <c r="CN168" s="1380"/>
      <c r="CO168" s="1382"/>
      <c r="CP168" s="1379"/>
      <c r="CQ168" s="1380"/>
      <c r="CR168" s="1381"/>
      <c r="CS168" s="1380"/>
      <c r="CT168" s="1382"/>
      <c r="CU168" s="1383"/>
      <c r="CV168" s="1384"/>
      <c r="CW168" s="1385"/>
      <c r="CX168" s="1386"/>
      <c r="CY168" s="1385"/>
      <c r="CZ168" s="1386"/>
      <c r="DA168" s="1385"/>
      <c r="DB168" s="1386"/>
      <c r="DC168" s="1387"/>
      <c r="DD168" s="1388"/>
      <c r="DE168" s="1388"/>
      <c r="DF168" s="1341"/>
      <c r="DG168" s="1341"/>
      <c r="DH168" s="1341"/>
      <c r="DI168" s="1341"/>
      <c r="DJ168" s="1341"/>
      <c r="DK168" s="1341"/>
      <c r="DL168" s="1364"/>
      <c r="DM168" s="1380"/>
      <c r="DN168" s="1389"/>
      <c r="DO168" s="1987"/>
      <c r="DP168" s="2067"/>
      <c r="DQ168" s="1382"/>
      <c r="DR168" s="1389"/>
      <c r="DS168" s="2076"/>
      <c r="DT168" s="1333"/>
      <c r="DU168" s="1393"/>
      <c r="DV168" s="1323"/>
      <c r="DW168" s="1394"/>
      <c r="DX168" s="1912"/>
      <c r="DY168" s="1394"/>
      <c r="DZ168" s="1358"/>
      <c r="EA168" s="1360"/>
      <c r="EB168" s="1889"/>
      <c r="EC168" s="1360"/>
      <c r="ED168" s="1395"/>
      <c r="EE168" s="1360"/>
      <c r="EF168" s="1396"/>
      <c r="EG168" s="1358"/>
      <c r="EH168" s="1360"/>
      <c r="EI168" s="1889"/>
      <c r="EJ168" s="1360"/>
      <c r="EK168" s="1395"/>
      <c r="EL168" s="1322"/>
      <c r="EM168" s="1379"/>
      <c r="EN168" s="1397"/>
      <c r="EO168" s="1323"/>
      <c r="EP168" s="2222"/>
      <c r="EQ168" s="2222"/>
      <c r="ER168" s="2222"/>
      <c r="ES168" s="2222"/>
      <c r="ET168" s="2222"/>
      <c r="EU168" s="2222"/>
      <c r="EV168" s="2222"/>
      <c r="EW168" s="2222"/>
      <c r="EX168" s="2222"/>
      <c r="EY168" s="2222"/>
      <c r="EZ168" s="2222"/>
      <c r="FA168" s="2222"/>
      <c r="FB168" s="2222"/>
      <c r="FC168" s="2222"/>
      <c r="FD168" s="2222"/>
      <c r="FE168" s="2222"/>
      <c r="FF168" s="2222"/>
      <c r="FG168" s="2222"/>
      <c r="FH168" s="2222"/>
      <c r="FI168" s="2222"/>
      <c r="FJ168" s="2222"/>
      <c r="FK168" s="2222"/>
      <c r="FL168" s="2222"/>
    </row>
    <row r="169" spans="1:174" s="2215" customFormat="1" ht="11.25" customHeight="1" x14ac:dyDescent="0.2">
      <c r="A169" s="1907"/>
      <c r="B169" s="2064"/>
      <c r="C169" s="1322"/>
      <c r="D169" s="1322"/>
      <c r="E169" s="1333"/>
      <c r="F169" s="1322"/>
      <c r="G169" s="1321"/>
      <c r="H169" s="1908"/>
      <c r="I169" s="1321"/>
      <c r="J169" s="1908"/>
      <c r="K169" s="1333"/>
      <c r="L169" s="1335"/>
      <c r="M169" s="1909"/>
      <c r="N169" s="1336"/>
      <c r="O169" s="1910"/>
      <c r="P169" s="1333"/>
      <c r="Q169" s="1332"/>
      <c r="R169" s="1911"/>
      <c r="S169" s="1912"/>
      <c r="T169" s="1337"/>
      <c r="U169" s="1338"/>
      <c r="V169" s="1913"/>
      <c r="W169" s="1914"/>
      <c r="X169" s="1915"/>
      <c r="Y169" s="1340"/>
      <c r="Z169" s="1340"/>
      <c r="AA169" s="1341"/>
      <c r="AB169" s="1916"/>
      <c r="AC169" s="1343"/>
      <c r="AD169" s="1344"/>
      <c r="AE169" s="1345"/>
      <c r="AF169" s="1346"/>
      <c r="AG169" s="1346"/>
      <c r="AH169" s="1347"/>
      <c r="AI169" s="1348"/>
      <c r="AJ169" s="1349"/>
      <c r="AK169" s="1348"/>
      <c r="AL169" s="1350"/>
      <c r="AM169" s="1351"/>
      <c r="AN169" s="1352"/>
      <c r="AO169" s="1353"/>
      <c r="AP169" s="1354"/>
      <c r="AQ169" s="1355"/>
      <c r="AR169" s="1356"/>
      <c r="AS169" s="1357"/>
      <c r="AT169" s="1358"/>
      <c r="AU169" s="1359"/>
      <c r="AV169" s="2078"/>
      <c r="AW169" s="2109"/>
      <c r="AX169" s="1334"/>
      <c r="AY169" s="1323"/>
      <c r="AZ169" s="2254"/>
      <c r="BA169" s="1362"/>
      <c r="BB169" s="1363"/>
      <c r="BC169" s="1918"/>
      <c r="BD169" s="1919"/>
      <c r="BE169" s="1919"/>
      <c r="BF169" s="1364"/>
      <c r="BG169" s="1365"/>
      <c r="BH169" s="1920"/>
      <c r="BI169" s="1921"/>
      <c r="BJ169" s="1367"/>
      <c r="BK169" s="1922"/>
      <c r="BL169" s="1367"/>
      <c r="BM169" s="1923"/>
      <c r="BN169" s="1351"/>
      <c r="BO169" s="1369"/>
      <c r="BP169" s="1370"/>
      <c r="BQ169" s="1371"/>
      <c r="BR169" s="1366"/>
      <c r="BS169" s="1359"/>
      <c r="BT169" s="1924"/>
      <c r="BU169" s="1359"/>
      <c r="BV169" s="1334"/>
      <c r="BW169" s="1373"/>
      <c r="BX169" s="1374"/>
      <c r="BY169" s="1400"/>
      <c r="BZ169" s="1364"/>
      <c r="CA169" s="1375"/>
      <c r="CB169" s="1376"/>
      <c r="CC169" s="1377"/>
      <c r="CD169" s="1341"/>
      <c r="CE169" s="1322"/>
      <c r="CF169" s="1322"/>
      <c r="CG169" s="1401"/>
      <c r="CH169" s="1322"/>
      <c r="CI169" s="1322"/>
      <c r="CJ169" s="1322"/>
      <c r="CK169" s="1379"/>
      <c r="CL169" s="1380"/>
      <c r="CM169" s="1381"/>
      <c r="CN169" s="1380"/>
      <c r="CO169" s="1382"/>
      <c r="CP169" s="1379"/>
      <c r="CQ169" s="1380"/>
      <c r="CR169" s="1381"/>
      <c r="CS169" s="1380"/>
      <c r="CT169" s="1382"/>
      <c r="CU169" s="1383"/>
      <c r="CV169" s="1384"/>
      <c r="CW169" s="1385"/>
      <c r="CX169" s="1386"/>
      <c r="CY169" s="1385"/>
      <c r="CZ169" s="1386"/>
      <c r="DA169" s="1385"/>
      <c r="DB169" s="1386"/>
      <c r="DC169" s="1387"/>
      <c r="DD169" s="1388"/>
      <c r="DE169" s="1388"/>
      <c r="DF169" s="1341"/>
      <c r="DG169" s="1341"/>
      <c r="DH169" s="1341"/>
      <c r="DI169" s="1341"/>
      <c r="DJ169" s="2255"/>
      <c r="DK169" s="1341"/>
      <c r="DL169" s="1364"/>
      <c r="DM169" s="1380"/>
      <c r="DN169" s="1389"/>
      <c r="DO169" s="2256"/>
      <c r="DP169" s="2067"/>
      <c r="DQ169" s="1382"/>
      <c r="DR169" s="1382"/>
      <c r="DS169" s="1391"/>
      <c r="DT169" s="1392"/>
      <c r="DU169" s="1393"/>
      <c r="DV169" s="1323"/>
      <c r="DW169" s="1394"/>
      <c r="DX169" s="1912"/>
      <c r="DY169" s="1394"/>
      <c r="DZ169" s="1358"/>
      <c r="EA169" s="1360"/>
      <c r="EB169" s="1360"/>
      <c r="EC169" s="1360"/>
      <c r="ED169" s="1395"/>
      <c r="EE169" s="1360"/>
      <c r="EF169" s="1396"/>
      <c r="EG169" s="1358"/>
      <c r="EH169" s="1360"/>
      <c r="EI169" s="1360"/>
      <c r="EJ169" s="1360"/>
      <c r="EK169" s="1395"/>
      <c r="EL169" s="1322"/>
      <c r="EM169" s="1379"/>
      <c r="EN169" s="1397"/>
      <c r="EO169" s="1323"/>
      <c r="EP169" s="2222"/>
      <c r="EQ169" s="2222"/>
      <c r="ER169" s="2222"/>
      <c r="ES169" s="2222"/>
      <c r="ET169" s="2222"/>
      <c r="EU169" s="2222"/>
      <c r="EV169" s="2222"/>
      <c r="EW169" s="2222"/>
      <c r="EX169" s="2222"/>
      <c r="EY169" s="2222"/>
      <c r="EZ169" s="2222"/>
      <c r="FA169" s="2222"/>
      <c r="FB169" s="2222"/>
      <c r="FC169" s="2222"/>
      <c r="FD169" s="2222"/>
      <c r="FE169" s="2222"/>
      <c r="FF169" s="2222"/>
      <c r="FG169" s="2222"/>
      <c r="FH169" s="2222"/>
      <c r="FI169" s="2222"/>
      <c r="FJ169" s="2222"/>
      <c r="FK169" s="2222"/>
      <c r="FL169" s="2222"/>
      <c r="FM169" s="1398"/>
      <c r="FN169" s="1926"/>
      <c r="FO169" s="1926"/>
      <c r="FP169" s="1926"/>
      <c r="FQ169" s="1926"/>
      <c r="FR169" s="1926"/>
    </row>
    <row r="170" spans="1:174" s="2257" customFormat="1" ht="11.25" customHeight="1" x14ac:dyDescent="0.2">
      <c r="A170" s="1907"/>
      <c r="B170" s="1332"/>
      <c r="C170" s="1322"/>
      <c r="D170" s="1322"/>
      <c r="E170" s="1333"/>
      <c r="F170" s="1322"/>
      <c r="G170" s="1321"/>
      <c r="H170" s="1908"/>
      <c r="I170" s="1321"/>
      <c r="J170" s="1908"/>
      <c r="K170" s="1333"/>
      <c r="L170" s="1335"/>
      <c r="M170" s="1909"/>
      <c r="N170" s="1336"/>
      <c r="O170" s="1910"/>
      <c r="P170" s="1333"/>
      <c r="Q170" s="1332"/>
      <c r="R170" s="1911"/>
      <c r="S170" s="1912"/>
      <c r="T170" s="1337"/>
      <c r="U170" s="1338"/>
      <c r="V170" s="1913"/>
      <c r="W170" s="1914"/>
      <c r="X170" s="1915"/>
      <c r="Y170" s="1340"/>
      <c r="Z170" s="1340"/>
      <c r="AA170" s="1341"/>
      <c r="AB170" s="1916"/>
      <c r="AC170" s="1343"/>
      <c r="AD170" s="1344"/>
      <c r="AE170" s="1345"/>
      <c r="AF170" s="1346"/>
      <c r="AG170" s="1346"/>
      <c r="AH170" s="1983"/>
      <c r="AI170" s="1984"/>
      <c r="AJ170" s="1985"/>
      <c r="AK170" s="1984"/>
      <c r="AL170" s="1350"/>
      <c r="AM170" s="1351"/>
      <c r="AN170" s="1352"/>
      <c r="AO170" s="1353"/>
      <c r="AP170" s="1354"/>
      <c r="AQ170" s="1355"/>
      <c r="AR170" s="1356"/>
      <c r="AS170" s="1357"/>
      <c r="AT170" s="1358"/>
      <c r="AU170" s="1359"/>
      <c r="AV170" s="1360"/>
      <c r="AW170" s="1359"/>
      <c r="AX170" s="1986"/>
      <c r="AY170" s="1323"/>
      <c r="AZ170" s="1361"/>
      <c r="BA170" s="1362"/>
      <c r="BB170" s="1363"/>
      <c r="BC170" s="1918"/>
      <c r="BD170" s="1919"/>
      <c r="BE170" s="1919"/>
      <c r="BF170" s="1364"/>
      <c r="BG170" s="1365"/>
      <c r="BH170" s="1920"/>
      <c r="BI170" s="1921"/>
      <c r="BJ170" s="1367"/>
      <c r="BK170" s="1922"/>
      <c r="BL170" s="1367"/>
      <c r="BM170" s="1923"/>
      <c r="BN170" s="1351"/>
      <c r="BO170" s="1369"/>
      <c r="BP170" s="1370"/>
      <c r="BQ170" s="1371"/>
      <c r="BR170" s="1366"/>
      <c r="BS170" s="1359"/>
      <c r="BT170" s="1924"/>
      <c r="BU170" s="1359"/>
      <c r="BV170" s="1334"/>
      <c r="BW170" s="1373"/>
      <c r="BX170" s="1374"/>
      <c r="BY170" s="1400"/>
      <c r="BZ170" s="1364"/>
      <c r="CA170" s="1375"/>
      <c r="CB170" s="1376"/>
      <c r="CC170" s="1377"/>
      <c r="CD170" s="1341"/>
      <c r="CE170" s="1322"/>
      <c r="CF170" s="1322"/>
      <c r="CG170" s="1401"/>
      <c r="CH170" s="1322"/>
      <c r="CI170" s="1322"/>
      <c r="CJ170" s="1322"/>
      <c r="CK170" s="1379"/>
      <c r="CL170" s="1380"/>
      <c r="CM170" s="1381"/>
      <c r="CN170" s="1380"/>
      <c r="CO170" s="1382"/>
      <c r="CP170" s="1379"/>
      <c r="CQ170" s="1380"/>
      <c r="CR170" s="1381"/>
      <c r="CS170" s="1380"/>
      <c r="CT170" s="1382"/>
      <c r="CU170" s="1383"/>
      <c r="CV170" s="1384"/>
      <c r="CW170" s="1385"/>
      <c r="CX170" s="1386"/>
      <c r="CY170" s="1385"/>
      <c r="CZ170" s="1386"/>
      <c r="DA170" s="1385"/>
      <c r="DB170" s="1386"/>
      <c r="DC170" s="1387"/>
      <c r="DD170" s="1388"/>
      <c r="DE170" s="1388"/>
      <c r="DF170" s="1341"/>
      <c r="DG170" s="1341"/>
      <c r="DH170" s="1341"/>
      <c r="DI170" s="1341"/>
      <c r="DJ170" s="1341"/>
      <c r="DK170" s="1341"/>
      <c r="DL170" s="1364"/>
      <c r="DM170" s="1380"/>
      <c r="DN170" s="1389"/>
      <c r="DO170" s="1987"/>
      <c r="DP170" s="1390"/>
      <c r="DQ170" s="1389"/>
      <c r="DR170" s="1382"/>
      <c r="DS170" s="1391"/>
      <c r="DT170" s="1392"/>
      <c r="DU170" s="1393"/>
      <c r="DV170" s="1323"/>
      <c r="DW170" s="1394"/>
      <c r="DX170" s="1912"/>
      <c r="DY170" s="1394"/>
      <c r="DZ170" s="1358"/>
      <c r="EA170" s="1360"/>
      <c r="EB170" s="2223"/>
      <c r="EC170" s="1360"/>
      <c r="ED170" s="1395"/>
      <c r="EE170" s="1360"/>
      <c r="EF170" s="1396"/>
      <c r="EG170" s="1358"/>
      <c r="EH170" s="1360"/>
      <c r="EI170" s="2223"/>
      <c r="EJ170" s="1360"/>
      <c r="EK170" s="1395"/>
      <c r="EL170" s="1322"/>
      <c r="EM170" s="1379"/>
      <c r="EN170" s="1397"/>
      <c r="EO170" s="1323"/>
      <c r="EP170" s="1398"/>
      <c r="EQ170" s="1398"/>
      <c r="ER170" s="1398"/>
      <c r="ES170" s="1398"/>
      <c r="ET170" s="1398"/>
      <c r="EU170" s="1398"/>
      <c r="EV170" s="1398"/>
      <c r="EW170" s="1398"/>
      <c r="EX170" s="1398"/>
      <c r="EY170" s="1398"/>
      <c r="EZ170" s="1398"/>
      <c r="FA170" s="1398"/>
      <c r="FB170" s="1398"/>
      <c r="FC170" s="1398"/>
      <c r="FD170" s="1398"/>
      <c r="FE170" s="1398"/>
      <c r="FF170" s="1398"/>
      <c r="FG170" s="1398"/>
      <c r="FH170" s="1398"/>
      <c r="FI170" s="1398"/>
      <c r="FJ170" s="1398"/>
      <c r="FK170" s="1398"/>
      <c r="FL170" s="1398"/>
      <c r="FM170" s="1398"/>
      <c r="FN170" s="1398"/>
      <c r="FO170" s="1398"/>
      <c r="FP170" s="1398"/>
      <c r="FQ170" s="1398"/>
      <c r="FR170" s="1398"/>
    </row>
    <row r="171" spans="1:174" s="2258" customFormat="1" ht="11.25" customHeight="1" x14ac:dyDescent="0.2">
      <c r="A171" s="1907"/>
      <c r="B171" s="2064"/>
      <c r="C171" s="1322"/>
      <c r="D171" s="1322"/>
      <c r="E171" s="1333"/>
      <c r="F171" s="1322"/>
      <c r="G171" s="1321"/>
      <c r="H171" s="1908"/>
      <c r="I171" s="1321"/>
      <c r="J171" s="1908"/>
      <c r="K171" s="1333"/>
      <c r="L171" s="1335"/>
      <c r="M171" s="1909"/>
      <c r="N171" s="1336"/>
      <c r="O171" s="1910"/>
      <c r="P171" s="1333"/>
      <c r="Q171" s="1332"/>
      <c r="R171" s="1911"/>
      <c r="S171" s="1912"/>
      <c r="T171" s="1337"/>
      <c r="U171" s="1338"/>
      <c r="V171" s="1913"/>
      <c r="W171" s="1914"/>
      <c r="X171" s="1915"/>
      <c r="Y171" s="1340"/>
      <c r="Z171" s="1340"/>
      <c r="AA171" s="1341"/>
      <c r="AB171" s="1916"/>
      <c r="AC171" s="1343"/>
      <c r="AD171" s="1344"/>
      <c r="AE171" s="1345"/>
      <c r="AF171" s="1346"/>
      <c r="AG171" s="1346"/>
      <c r="AH171" s="1983"/>
      <c r="AI171" s="1984"/>
      <c r="AJ171" s="1985"/>
      <c r="AK171" s="1984"/>
      <c r="AL171" s="1350"/>
      <c r="AM171" s="1351"/>
      <c r="AN171" s="1352"/>
      <c r="AO171" s="1353"/>
      <c r="AP171" s="1354"/>
      <c r="AQ171" s="1355"/>
      <c r="AR171" s="1356"/>
      <c r="AS171" s="1357"/>
      <c r="AT171" s="1358"/>
      <c r="AU171" s="1359"/>
      <c r="AV171" s="1360"/>
      <c r="AW171" s="1359"/>
      <c r="AX171" s="2029"/>
      <c r="AY171" s="1323"/>
      <c r="AZ171" s="1361"/>
      <c r="BA171" s="1362"/>
      <c r="BB171" s="1363"/>
      <c r="BC171" s="1918"/>
      <c r="BD171" s="1919"/>
      <c r="BE171" s="1919"/>
      <c r="BF171" s="1364"/>
      <c r="BG171" s="1365"/>
      <c r="BH171" s="1920"/>
      <c r="BI171" s="1921"/>
      <c r="BJ171" s="1367"/>
      <c r="BK171" s="1922"/>
      <c r="BL171" s="1367"/>
      <c r="BM171" s="1923"/>
      <c r="BN171" s="1351"/>
      <c r="BO171" s="1369"/>
      <c r="BP171" s="1370"/>
      <c r="BQ171" s="1371"/>
      <c r="BR171" s="1366"/>
      <c r="BS171" s="1359"/>
      <c r="BT171" s="1924"/>
      <c r="BU171" s="1359"/>
      <c r="BV171" s="1334"/>
      <c r="BW171" s="1373"/>
      <c r="BX171" s="1374"/>
      <c r="BY171" s="1400"/>
      <c r="BZ171" s="1364"/>
      <c r="CA171" s="1375"/>
      <c r="CB171" s="1376"/>
      <c r="CC171" s="1377"/>
      <c r="CD171" s="1341"/>
      <c r="CE171" s="1322"/>
      <c r="CF171" s="1322"/>
      <c r="CG171" s="1401"/>
      <c r="CH171" s="1322"/>
      <c r="CI171" s="1322"/>
      <c r="CJ171" s="1322"/>
      <c r="CK171" s="1379"/>
      <c r="CL171" s="1380"/>
      <c r="CM171" s="1381"/>
      <c r="CN171" s="1380"/>
      <c r="CO171" s="1382"/>
      <c r="CP171" s="1379"/>
      <c r="CQ171" s="1380"/>
      <c r="CR171" s="1381"/>
      <c r="CS171" s="1380"/>
      <c r="CT171" s="1382"/>
      <c r="CU171" s="1383"/>
      <c r="CV171" s="1384"/>
      <c r="CW171" s="1385"/>
      <c r="CX171" s="1386"/>
      <c r="CY171" s="1385"/>
      <c r="CZ171" s="1386"/>
      <c r="DA171" s="1385"/>
      <c r="DB171" s="1386"/>
      <c r="DC171" s="1387"/>
      <c r="DD171" s="1388"/>
      <c r="DE171" s="1388"/>
      <c r="DF171" s="1341"/>
      <c r="DG171" s="1341"/>
      <c r="DH171" s="1341"/>
      <c r="DI171" s="1341"/>
      <c r="DJ171" s="1341"/>
      <c r="DK171" s="1341"/>
      <c r="DL171" s="1364"/>
      <c r="DM171" s="1380"/>
      <c r="DN171" s="1389"/>
      <c r="DO171" s="1987"/>
      <c r="DP171" s="1390"/>
      <c r="DQ171" s="1389"/>
      <c r="DR171" s="1382"/>
      <c r="DS171" s="1391"/>
      <c r="DT171" s="1392"/>
      <c r="DU171" s="1393"/>
      <c r="DV171" s="1323"/>
      <c r="DW171" s="1394"/>
      <c r="DX171" s="1912"/>
      <c r="DY171" s="1394"/>
      <c r="DZ171" s="1358"/>
      <c r="EA171" s="1360"/>
      <c r="EB171" s="2078"/>
      <c r="EC171" s="1360"/>
      <c r="ED171" s="1395"/>
      <c r="EE171" s="1360"/>
      <c r="EF171" s="1396"/>
      <c r="EG171" s="1358"/>
      <c r="EH171" s="1360"/>
      <c r="EI171" s="2078"/>
      <c r="EJ171" s="1360"/>
      <c r="EK171" s="1395"/>
      <c r="EL171" s="1322"/>
      <c r="EM171" s="1379"/>
      <c r="EN171" s="1397"/>
      <c r="EO171" s="1323"/>
      <c r="EP171" s="1398"/>
      <c r="EQ171" s="1398"/>
      <c r="ER171" s="1398"/>
      <c r="ES171" s="1398"/>
      <c r="ET171" s="1398"/>
      <c r="EU171" s="1398"/>
      <c r="EV171" s="1398"/>
      <c r="EW171" s="1398"/>
      <c r="EX171" s="1398"/>
      <c r="EY171" s="1398"/>
      <c r="EZ171" s="1398"/>
      <c r="FA171" s="1398"/>
      <c r="FB171" s="1398"/>
      <c r="FC171" s="1398"/>
      <c r="FD171" s="1398"/>
      <c r="FE171" s="1398"/>
      <c r="FF171" s="1398"/>
      <c r="FG171" s="1398"/>
      <c r="FH171" s="1398"/>
      <c r="FI171" s="1398"/>
      <c r="FJ171" s="1398"/>
      <c r="FK171" s="1398"/>
      <c r="FL171" s="1398"/>
      <c r="FM171" s="1398"/>
      <c r="FN171" s="1926"/>
      <c r="FO171" s="1926"/>
      <c r="FP171" s="1926"/>
      <c r="FQ171" s="1926"/>
      <c r="FR171" s="1926"/>
    </row>
    <row r="172" spans="1:174" s="2257" customFormat="1" ht="11.25" customHeight="1" x14ac:dyDescent="0.2">
      <c r="A172" s="1907"/>
      <c r="B172" s="1332"/>
      <c r="C172" s="2259"/>
      <c r="D172" s="2259"/>
      <c r="E172" s="2260"/>
      <c r="F172" s="2259"/>
      <c r="G172" s="2261"/>
      <c r="H172" s="2262"/>
      <c r="I172" s="2261"/>
      <c r="J172" s="2262"/>
      <c r="K172" s="2260"/>
      <c r="L172" s="1335"/>
      <c r="M172" s="1909"/>
      <c r="N172" s="1336"/>
      <c r="O172" s="1910"/>
      <c r="P172" s="2260"/>
      <c r="Q172" s="1332"/>
      <c r="R172" s="2263"/>
      <c r="S172" s="1912"/>
      <c r="T172" s="2264"/>
      <c r="U172" s="2265"/>
      <c r="V172" s="1913"/>
      <c r="W172" s="1914"/>
      <c r="X172" s="2266"/>
      <c r="Y172" s="1340"/>
      <c r="Z172" s="1340"/>
      <c r="AA172" s="2267"/>
      <c r="AB172" s="2268"/>
      <c r="AC172" s="2269"/>
      <c r="AD172" s="2270"/>
      <c r="AE172" s="2271"/>
      <c r="AF172" s="2272"/>
      <c r="AG172" s="2272"/>
      <c r="AH172" s="1347"/>
      <c r="AI172" s="1348"/>
      <c r="AJ172" s="1349"/>
      <c r="AK172" s="1348"/>
      <c r="AL172" s="1350"/>
      <c r="AM172" s="2273"/>
      <c r="AN172" s="2274"/>
      <c r="AO172" s="2275"/>
      <c r="AP172" s="2276"/>
      <c r="AQ172" s="2277"/>
      <c r="AR172" s="2278"/>
      <c r="AS172" s="2279"/>
      <c r="AT172" s="2280"/>
      <c r="AU172" s="2101"/>
      <c r="AV172" s="2281"/>
      <c r="AW172" s="2282"/>
      <c r="AX172" s="2170"/>
      <c r="AY172" s="2171"/>
      <c r="AZ172" s="2283"/>
      <c r="BA172" s="2173"/>
      <c r="BB172" s="2284"/>
      <c r="BC172" s="1918"/>
      <c r="BD172" s="1919"/>
      <c r="BE172" s="1919"/>
      <c r="BF172" s="2285"/>
      <c r="BG172" s="2097"/>
      <c r="BH172" s="2098"/>
      <c r="BI172" s="1921"/>
      <c r="BJ172" s="1367"/>
      <c r="BK172" s="1922"/>
      <c r="BL172" s="1367"/>
      <c r="BM172" s="1923"/>
      <c r="BN172" s="2273"/>
      <c r="BO172" s="2286"/>
      <c r="BP172" s="2099"/>
      <c r="BQ172" s="2100"/>
      <c r="BR172" s="1366"/>
      <c r="BS172" s="2101"/>
      <c r="BT172" s="2181"/>
      <c r="BU172" s="2101"/>
      <c r="BV172" s="2170"/>
      <c r="BW172" s="2287"/>
      <c r="BX172" s="2288"/>
      <c r="BY172" s="1400"/>
      <c r="BZ172" s="2285"/>
      <c r="CA172" s="1375"/>
      <c r="CB172" s="2289"/>
      <c r="CC172" s="2290"/>
      <c r="CD172" s="2267"/>
      <c r="CE172" s="2259"/>
      <c r="CF172" s="2259"/>
      <c r="CG172" s="2291"/>
      <c r="CH172" s="2259"/>
      <c r="CI172" s="2259"/>
      <c r="CJ172" s="2259"/>
      <c r="CK172" s="2292"/>
      <c r="CL172" s="2293"/>
      <c r="CM172" s="2294"/>
      <c r="CN172" s="2293"/>
      <c r="CO172" s="2295"/>
      <c r="CP172" s="2292"/>
      <c r="CQ172" s="2293"/>
      <c r="CR172" s="2294"/>
      <c r="CS172" s="2293"/>
      <c r="CT172" s="2295"/>
      <c r="CU172" s="2296"/>
      <c r="CV172" s="2297"/>
      <c r="CW172" s="2298"/>
      <c r="CX172" s="2299"/>
      <c r="CY172" s="2298"/>
      <c r="CZ172" s="2299"/>
      <c r="DA172" s="2298"/>
      <c r="DB172" s="2299"/>
      <c r="DC172" s="2300"/>
      <c r="DD172" s="2301"/>
      <c r="DE172" s="2301"/>
      <c r="DF172" s="2267"/>
      <c r="DG172" s="2267"/>
      <c r="DH172" s="2267"/>
      <c r="DI172" s="2267"/>
      <c r="DJ172" s="2302"/>
      <c r="DK172" s="2267"/>
      <c r="DL172" s="2285"/>
      <c r="DM172" s="2293"/>
      <c r="DN172" s="2303"/>
      <c r="DO172" s="2304"/>
      <c r="DP172" s="2305"/>
      <c r="DQ172" s="2303"/>
      <c r="DR172" s="2295"/>
      <c r="DS172" s="2306"/>
      <c r="DT172" s="2307"/>
      <c r="DU172" s="2308"/>
      <c r="DV172" s="2171"/>
      <c r="DW172" s="2309"/>
      <c r="DX172" s="1912"/>
      <c r="DY172" s="2309"/>
      <c r="DZ172" s="2280"/>
      <c r="EA172" s="2310"/>
      <c r="EB172" s="2281"/>
      <c r="EC172" s="2310"/>
      <c r="ED172" s="2311"/>
      <c r="EE172" s="2310"/>
      <c r="EF172" s="2312"/>
      <c r="EG172" s="2280"/>
      <c r="EH172" s="2310"/>
      <c r="EI172" s="2281"/>
      <c r="EJ172" s="2310"/>
      <c r="EK172" s="2311"/>
      <c r="EL172" s="2259"/>
      <c r="EM172" s="2292"/>
      <c r="EN172" s="2313"/>
      <c r="EO172" s="2171"/>
      <c r="EP172" s="2118"/>
      <c r="EQ172" s="2118"/>
      <c r="ER172" s="2118"/>
      <c r="ES172" s="2118"/>
      <c r="ET172" s="2118"/>
      <c r="EU172" s="2118"/>
      <c r="EV172" s="2118"/>
      <c r="EW172" s="2118"/>
      <c r="EX172" s="2118"/>
      <c r="EY172" s="2118"/>
      <c r="EZ172" s="2118"/>
      <c r="FA172" s="2118"/>
      <c r="FB172" s="2118"/>
      <c r="FC172" s="2118"/>
      <c r="FD172" s="2118"/>
      <c r="FE172" s="2118"/>
      <c r="FF172" s="2118"/>
      <c r="FG172" s="2118"/>
      <c r="FH172" s="2118"/>
      <c r="FI172" s="2118"/>
      <c r="FJ172" s="2118"/>
      <c r="FK172" s="2118"/>
      <c r="FL172" s="2118"/>
      <c r="FM172" s="2118"/>
      <c r="FN172" s="2118"/>
      <c r="FO172" s="2118"/>
      <c r="FP172" s="2118"/>
      <c r="FQ172" s="2118"/>
      <c r="FR172" s="2118"/>
    </row>
    <row r="173" spans="1:174" s="1398" customFormat="1" ht="11.25" customHeight="1" x14ac:dyDescent="0.2">
      <c r="A173" s="1907"/>
      <c r="B173" s="2064"/>
      <c r="C173" s="1322"/>
      <c r="D173" s="1322"/>
      <c r="E173" s="1333"/>
      <c r="F173" s="1322"/>
      <c r="G173" s="1321"/>
      <c r="H173" s="1908"/>
      <c r="I173" s="1321"/>
      <c r="J173" s="1908"/>
      <c r="K173" s="1333"/>
      <c r="L173" s="1335"/>
      <c r="M173" s="1909"/>
      <c r="N173" s="1336"/>
      <c r="O173" s="1910"/>
      <c r="P173" s="1333"/>
      <c r="Q173" s="1332"/>
      <c r="R173" s="1911"/>
      <c r="S173" s="1912"/>
      <c r="T173" s="1337"/>
      <c r="U173" s="1338"/>
      <c r="V173" s="1913"/>
      <c r="W173" s="1914"/>
      <c r="X173" s="1915"/>
      <c r="Y173" s="1340"/>
      <c r="Z173" s="1340"/>
      <c r="AA173" s="1341"/>
      <c r="AB173" s="1916"/>
      <c r="AC173" s="1343"/>
      <c r="AD173" s="1344"/>
      <c r="AE173" s="1345"/>
      <c r="AF173" s="1346"/>
      <c r="AG173" s="1346"/>
      <c r="AH173" s="1347"/>
      <c r="AI173" s="1348"/>
      <c r="AJ173" s="1349"/>
      <c r="AK173" s="1348"/>
      <c r="AL173" s="1350"/>
      <c r="AM173" s="1351"/>
      <c r="AN173" s="1361"/>
      <c r="AO173" s="1353"/>
      <c r="AP173" s="1354"/>
      <c r="AQ173" s="1355"/>
      <c r="AR173" s="1356"/>
      <c r="AS173" s="1357"/>
      <c r="AT173" s="1358"/>
      <c r="AU173" s="1359"/>
      <c r="AV173" s="1360"/>
      <c r="AW173" s="1359"/>
      <c r="AX173" s="2029"/>
      <c r="AY173" s="1323"/>
      <c r="AZ173" s="1361"/>
      <c r="BA173" s="1362"/>
      <c r="BB173" s="1363"/>
      <c r="BC173" s="1918"/>
      <c r="BD173" s="1919"/>
      <c r="BE173" s="1919"/>
      <c r="BF173" s="1364"/>
      <c r="BG173" s="1365"/>
      <c r="BH173" s="1920"/>
      <c r="BI173" s="1921"/>
      <c r="BJ173" s="1367"/>
      <c r="BK173" s="1922"/>
      <c r="BL173" s="1367"/>
      <c r="BM173" s="1923"/>
      <c r="BN173" s="1351"/>
      <c r="BO173" s="1369"/>
      <c r="BP173" s="1370"/>
      <c r="BQ173" s="1371"/>
      <c r="BR173" s="1366"/>
      <c r="BS173" s="1359"/>
      <c r="BT173" s="1924"/>
      <c r="BU173" s="1359"/>
      <c r="BV173" s="1334"/>
      <c r="BW173" s="1373"/>
      <c r="BX173" s="1374"/>
      <c r="BY173" s="1400"/>
      <c r="BZ173" s="1364"/>
      <c r="CA173" s="1375"/>
      <c r="CB173" s="1376"/>
      <c r="CC173" s="1377"/>
      <c r="CD173" s="1341"/>
      <c r="CE173" s="1322"/>
      <c r="CF173" s="1322"/>
      <c r="CG173" s="1401"/>
      <c r="CH173" s="1322"/>
      <c r="CI173" s="1322"/>
      <c r="CJ173" s="1322"/>
      <c r="CK173" s="1379"/>
      <c r="CL173" s="1380"/>
      <c r="CM173" s="1381"/>
      <c r="CN173" s="1380"/>
      <c r="CO173" s="1382"/>
      <c r="CP173" s="1379"/>
      <c r="CQ173" s="1380"/>
      <c r="CR173" s="1381"/>
      <c r="CS173" s="1380"/>
      <c r="CT173" s="1382"/>
      <c r="CU173" s="1383"/>
      <c r="CV173" s="1384"/>
      <c r="CW173" s="1385"/>
      <c r="CX173" s="1386"/>
      <c r="CY173" s="1385"/>
      <c r="CZ173" s="1386"/>
      <c r="DA173" s="1385"/>
      <c r="DB173" s="1386"/>
      <c r="DC173" s="1387"/>
      <c r="DD173" s="1388"/>
      <c r="DE173" s="1388"/>
      <c r="DF173" s="1341"/>
      <c r="DG173" s="1341"/>
      <c r="DH173" s="1341"/>
      <c r="DI173" s="1341"/>
      <c r="DJ173" s="1341"/>
      <c r="DK173" s="1341"/>
      <c r="DL173" s="1364"/>
      <c r="DM173" s="1380"/>
      <c r="DN173" s="1389"/>
      <c r="DO173" s="1987"/>
      <c r="DP173" s="1390"/>
      <c r="DQ173" s="1389"/>
      <c r="DR173" s="1382"/>
      <c r="DS173" s="1391"/>
      <c r="DT173" s="1392"/>
      <c r="DU173" s="1393"/>
      <c r="DV173" s="1323"/>
      <c r="DW173" s="1394"/>
      <c r="DX173" s="1912"/>
      <c r="DY173" s="1394"/>
      <c r="DZ173" s="1358"/>
      <c r="EA173" s="1360"/>
      <c r="EB173" s="1360"/>
      <c r="EC173" s="1360"/>
      <c r="ED173" s="1395"/>
      <c r="EE173" s="1360"/>
      <c r="EF173" s="1396"/>
      <c r="EG173" s="1358"/>
      <c r="EH173" s="1360"/>
      <c r="EI173" s="1360"/>
      <c r="EJ173" s="1360"/>
      <c r="EK173" s="1395"/>
      <c r="EL173" s="1322"/>
      <c r="EM173" s="1379"/>
      <c r="EN173" s="1397"/>
      <c r="EO173" s="1323"/>
    </row>
    <row r="174" spans="1:174" s="2215" customFormat="1" ht="11.25" customHeight="1" x14ac:dyDescent="0.2">
      <c r="A174" s="1907"/>
      <c r="B174" s="1332"/>
      <c r="C174" s="1322"/>
      <c r="D174" s="1322"/>
      <c r="E174" s="1333"/>
      <c r="F174" s="1322"/>
      <c r="G174" s="1321"/>
      <c r="H174" s="1908"/>
      <c r="I174" s="1321"/>
      <c r="J174" s="1908"/>
      <c r="K174" s="1333"/>
      <c r="L174" s="1335"/>
      <c r="M174" s="1909"/>
      <c r="N174" s="1336"/>
      <c r="O174" s="1910"/>
      <c r="P174" s="1333"/>
      <c r="Q174" s="1332"/>
      <c r="R174" s="1911"/>
      <c r="S174" s="1912"/>
      <c r="T174" s="1337"/>
      <c r="U174" s="1338"/>
      <c r="V174" s="1913"/>
      <c r="W174" s="1914"/>
      <c r="X174" s="1915"/>
      <c r="Y174" s="1340"/>
      <c r="Z174" s="1340"/>
      <c r="AA174" s="1341"/>
      <c r="AB174" s="1916"/>
      <c r="AC174" s="1343"/>
      <c r="AD174" s="1344"/>
      <c r="AE174" s="1345"/>
      <c r="AF174" s="1346"/>
      <c r="AG174" s="1346"/>
      <c r="AH174" s="1347"/>
      <c r="AI174" s="1348"/>
      <c r="AJ174" s="1349"/>
      <c r="AK174" s="1348"/>
      <c r="AL174" s="1350"/>
      <c r="AM174" s="1351"/>
      <c r="AN174" s="1352"/>
      <c r="AO174" s="1353"/>
      <c r="AP174" s="1354"/>
      <c r="AQ174" s="1355"/>
      <c r="AR174" s="1356"/>
      <c r="AS174" s="1357"/>
      <c r="AT174" s="1358"/>
      <c r="AU174" s="2105"/>
      <c r="AV174" s="2078"/>
      <c r="AW174" s="2109"/>
      <c r="AX174" s="1334"/>
      <c r="AY174" s="1323"/>
      <c r="AZ174" s="1361"/>
      <c r="BA174" s="1362"/>
      <c r="BB174" s="1363"/>
      <c r="BC174" s="1918"/>
      <c r="BD174" s="1919"/>
      <c r="BE174" s="1919"/>
      <c r="BF174" s="1364"/>
      <c r="BG174" s="1365"/>
      <c r="BH174" s="1920"/>
      <c r="BI174" s="1921"/>
      <c r="BJ174" s="1367"/>
      <c r="BK174" s="1922"/>
      <c r="BL174" s="1367"/>
      <c r="BM174" s="1923"/>
      <c r="BN174" s="1351"/>
      <c r="BO174" s="1369"/>
      <c r="BP174" s="1370"/>
      <c r="BQ174" s="1371"/>
      <c r="BR174" s="1366"/>
      <c r="BS174" s="1359"/>
      <c r="BT174" s="1924"/>
      <c r="BU174" s="1359"/>
      <c r="BV174" s="1334"/>
      <c r="BW174" s="1373"/>
      <c r="BX174" s="1374"/>
      <c r="BY174" s="1400"/>
      <c r="BZ174" s="1364"/>
      <c r="CA174" s="1375"/>
      <c r="CB174" s="1376"/>
      <c r="CC174" s="1377"/>
      <c r="CD174" s="1341"/>
      <c r="CE174" s="1322"/>
      <c r="CF174" s="1322"/>
      <c r="CG174" s="1401"/>
      <c r="CH174" s="1322"/>
      <c r="CI174" s="1925"/>
      <c r="CJ174" s="1322"/>
      <c r="CK174" s="1379"/>
      <c r="CL174" s="1380"/>
      <c r="CM174" s="1381"/>
      <c r="CN174" s="1380"/>
      <c r="CO174" s="1382"/>
      <c r="CP174" s="1379"/>
      <c r="CQ174" s="1380"/>
      <c r="CR174" s="1381"/>
      <c r="CS174" s="1380"/>
      <c r="CT174" s="1382"/>
      <c r="CU174" s="1383"/>
      <c r="CV174" s="1384"/>
      <c r="CW174" s="1385"/>
      <c r="CX174" s="1386"/>
      <c r="CY174" s="1385"/>
      <c r="CZ174" s="1386"/>
      <c r="DA174" s="1385"/>
      <c r="DB174" s="1386"/>
      <c r="DC174" s="1387"/>
      <c r="DD174" s="1388"/>
      <c r="DE174" s="2075"/>
      <c r="DF174" s="1341"/>
      <c r="DG174" s="1341"/>
      <c r="DH174" s="1341"/>
      <c r="DI174" s="1341"/>
      <c r="DJ174" s="2255"/>
      <c r="DK174" s="1341"/>
      <c r="DL174" s="1364"/>
      <c r="DM174" s="1380"/>
      <c r="DN174" s="1389"/>
      <c r="DO174" s="1987"/>
      <c r="DP174" s="1390"/>
      <c r="DQ174" s="1389"/>
      <c r="DR174" s="1389"/>
      <c r="DS174" s="2076"/>
      <c r="DT174" s="1333"/>
      <c r="DU174" s="1393"/>
      <c r="DV174" s="1323"/>
      <c r="DW174" s="1394"/>
      <c r="DX174" s="1912"/>
      <c r="DY174" s="1394"/>
      <c r="DZ174" s="2077"/>
      <c r="EA174" s="1360"/>
      <c r="EB174" s="1360"/>
      <c r="EC174" s="1360"/>
      <c r="ED174" s="1395"/>
      <c r="EE174" s="1360"/>
      <c r="EF174" s="1396"/>
      <c r="EG174" s="2077"/>
      <c r="EH174" s="1360"/>
      <c r="EI174" s="2090"/>
      <c r="EJ174" s="1360"/>
      <c r="EK174" s="1395"/>
      <c r="EL174" s="1322"/>
      <c r="EM174" s="1379"/>
      <c r="EN174" s="1397"/>
      <c r="EO174" s="1323"/>
      <c r="EP174" s="1398"/>
      <c r="EQ174" s="1398"/>
      <c r="ER174" s="1398"/>
      <c r="ES174" s="1398"/>
      <c r="ET174" s="1398"/>
      <c r="EU174" s="1398"/>
      <c r="EV174" s="1398"/>
      <c r="EW174" s="1398"/>
      <c r="EX174" s="1398"/>
      <c r="EY174" s="1398"/>
      <c r="EZ174" s="1398"/>
      <c r="FA174" s="1398"/>
      <c r="FB174" s="1398"/>
      <c r="FC174" s="1398"/>
      <c r="FD174" s="1398"/>
      <c r="FE174" s="1398"/>
      <c r="FF174" s="1398"/>
      <c r="FG174" s="1398"/>
      <c r="FH174" s="1398"/>
      <c r="FI174" s="1398"/>
      <c r="FJ174" s="1398"/>
      <c r="FK174" s="1398"/>
      <c r="FL174" s="1398"/>
      <c r="FM174" s="1398"/>
      <c r="FN174" s="1398"/>
      <c r="FO174" s="1398"/>
      <c r="FP174" s="1398"/>
      <c r="FQ174" s="1398"/>
      <c r="FR174" s="1398"/>
    </row>
    <row r="175" spans="1:174" s="2228" customFormat="1" ht="11.25" customHeight="1" x14ac:dyDescent="0.2">
      <c r="A175" s="1907"/>
      <c r="B175" s="2064"/>
      <c r="C175" s="1322"/>
      <c r="D175" s="1927"/>
      <c r="E175" s="1928"/>
      <c r="F175" s="1927"/>
      <c r="G175" s="1929"/>
      <c r="H175" s="1930"/>
      <c r="I175" s="1929"/>
      <c r="J175" s="1930"/>
      <c r="K175" s="1928"/>
      <c r="L175" s="1335"/>
      <c r="M175" s="1909"/>
      <c r="N175" s="1336"/>
      <c r="O175" s="1910"/>
      <c r="P175" s="1928"/>
      <c r="Q175" s="1332"/>
      <c r="R175" s="1931"/>
      <c r="S175" s="1912"/>
      <c r="T175" s="1932"/>
      <c r="U175" s="1933"/>
      <c r="V175" s="1913"/>
      <c r="W175" s="1914"/>
      <c r="X175" s="1913"/>
      <c r="Y175" s="1340"/>
      <c r="Z175" s="1340"/>
      <c r="AA175" s="1909"/>
      <c r="AB175" s="1934"/>
      <c r="AC175" s="1935"/>
      <c r="AD175" s="1936"/>
      <c r="AE175" s="1937"/>
      <c r="AF175" s="1938"/>
      <c r="AG175" s="1938"/>
      <c r="AH175" s="1347"/>
      <c r="AI175" s="1348"/>
      <c r="AJ175" s="1349"/>
      <c r="AK175" s="1348"/>
      <c r="AL175" s="1350"/>
      <c r="AM175" s="1368"/>
      <c r="AN175" s="1939"/>
      <c r="AO175" s="1940"/>
      <c r="AP175" s="1941"/>
      <c r="AQ175" s="1942"/>
      <c r="AR175" s="1335"/>
      <c r="AS175" s="1943"/>
      <c r="AT175" s="1944"/>
      <c r="AU175" s="2314"/>
      <c r="AV175" s="2073"/>
      <c r="AW175" s="2095"/>
      <c r="AX175" s="1956"/>
      <c r="AY175" s="1976"/>
      <c r="AZ175" s="1947"/>
      <c r="BA175" s="2069"/>
      <c r="BB175" s="1948"/>
      <c r="BC175" s="1918"/>
      <c r="BD175" s="1919"/>
      <c r="BE175" s="1919"/>
      <c r="BF175" s="1949"/>
      <c r="BG175" s="1950"/>
      <c r="BH175" s="1951"/>
      <c r="BI175" s="1921"/>
      <c r="BJ175" s="1367"/>
      <c r="BK175" s="1922"/>
      <c r="BL175" s="1367"/>
      <c r="BM175" s="1923"/>
      <c r="BN175" s="1368"/>
      <c r="BO175" s="1952"/>
      <c r="BP175" s="1953"/>
      <c r="BQ175" s="1954"/>
      <c r="BR175" s="1366"/>
      <c r="BS175" s="1945"/>
      <c r="BT175" s="1955"/>
      <c r="BU175" s="1945"/>
      <c r="BV175" s="1956"/>
      <c r="BW175" s="1957"/>
      <c r="BX175" s="1958"/>
      <c r="BY175" s="1400"/>
      <c r="BZ175" s="1949"/>
      <c r="CA175" s="1375"/>
      <c r="CB175" s="1959"/>
      <c r="CC175" s="1960"/>
      <c r="CD175" s="1909"/>
      <c r="CE175" s="1927"/>
      <c r="CF175" s="1927"/>
      <c r="CG175" s="1961"/>
      <c r="CH175" s="1927"/>
      <c r="CI175" s="1913"/>
      <c r="CJ175" s="1927"/>
      <c r="CK175" s="1962"/>
      <c r="CL175" s="1326"/>
      <c r="CM175" s="1963"/>
      <c r="CN175" s="1326"/>
      <c r="CO175" s="1964"/>
      <c r="CP175" s="1962"/>
      <c r="CQ175" s="1326"/>
      <c r="CR175" s="1963"/>
      <c r="CS175" s="1326"/>
      <c r="CT175" s="1964"/>
      <c r="CU175" s="1965"/>
      <c r="CV175" s="1966"/>
      <c r="CW175" s="1339"/>
      <c r="CX175" s="1967"/>
      <c r="CY175" s="1339"/>
      <c r="CZ175" s="1967"/>
      <c r="DA175" s="1339"/>
      <c r="DB175" s="1967"/>
      <c r="DC175" s="1968"/>
      <c r="DD175" s="1969"/>
      <c r="DE175" s="2070"/>
      <c r="DF175" s="1909"/>
      <c r="DG175" s="1909"/>
      <c r="DH175" s="1909"/>
      <c r="DI175" s="1909"/>
      <c r="DJ175" s="2116"/>
      <c r="DK175" s="1909"/>
      <c r="DL175" s="1949"/>
      <c r="DM175" s="1326"/>
      <c r="DN175" s="1970"/>
      <c r="DO175" s="1971"/>
      <c r="DP175" s="1972"/>
      <c r="DQ175" s="1970"/>
      <c r="DR175" s="1970"/>
      <c r="DS175" s="2071"/>
      <c r="DT175" s="1928"/>
      <c r="DU175" s="1975"/>
      <c r="DV175" s="1976"/>
      <c r="DW175" s="1977"/>
      <c r="DX175" s="1912"/>
      <c r="DY175" s="1977"/>
      <c r="DZ175" s="2315"/>
      <c r="EA175" s="1946"/>
      <c r="EB175" s="1946"/>
      <c r="EC175" s="1946"/>
      <c r="ED175" s="1978"/>
      <c r="EE175" s="1946"/>
      <c r="EF175" s="1979"/>
      <c r="EG175" s="2315"/>
      <c r="EH175" s="1946"/>
      <c r="EI175" s="2133"/>
      <c r="EJ175" s="1946"/>
      <c r="EK175" s="1978"/>
      <c r="EL175" s="1927"/>
      <c r="EM175" s="1962"/>
      <c r="EN175" s="1980"/>
      <c r="EO175" s="1976"/>
      <c r="EP175" s="1926"/>
      <c r="EQ175" s="1926"/>
      <c r="ER175" s="1926"/>
      <c r="ES175" s="1926"/>
      <c r="ET175" s="1926"/>
      <c r="EU175" s="1926"/>
      <c r="EV175" s="1926"/>
      <c r="EW175" s="1926"/>
      <c r="EX175" s="1926"/>
      <c r="EY175" s="1926"/>
      <c r="EZ175" s="1926"/>
      <c r="FA175" s="1926"/>
      <c r="FB175" s="1926"/>
      <c r="FC175" s="1926"/>
      <c r="FD175" s="1926"/>
      <c r="FE175" s="1926"/>
      <c r="FF175" s="1926"/>
      <c r="FG175" s="1926"/>
      <c r="FH175" s="1926"/>
      <c r="FI175" s="1926"/>
      <c r="FJ175" s="1926"/>
      <c r="FK175" s="1926"/>
      <c r="FL175" s="1926"/>
      <c r="FM175" s="1926"/>
      <c r="FN175" s="1398"/>
      <c r="FO175" s="1398"/>
      <c r="FP175" s="1398"/>
      <c r="FQ175" s="1398"/>
      <c r="FR175" s="1398"/>
    </row>
    <row r="176" spans="1:174" s="2118" customFormat="1" ht="10.5" customHeight="1" x14ac:dyDescent="0.2">
      <c r="A176" s="1907"/>
      <c r="B176" s="1332"/>
      <c r="C176" s="1322"/>
      <c r="D176" s="1927"/>
      <c r="E176" s="1928"/>
      <c r="F176" s="1927"/>
      <c r="G176" s="1929"/>
      <c r="H176" s="1930"/>
      <c r="I176" s="1929"/>
      <c r="J176" s="1930"/>
      <c r="K176" s="1928"/>
      <c r="L176" s="1335"/>
      <c r="M176" s="1909"/>
      <c r="N176" s="1336"/>
      <c r="O176" s="1910"/>
      <c r="P176" s="1928"/>
      <c r="Q176" s="1332"/>
      <c r="R176" s="1931"/>
      <c r="S176" s="1912"/>
      <c r="T176" s="1932"/>
      <c r="U176" s="1933"/>
      <c r="V176" s="1913"/>
      <c r="W176" s="1914"/>
      <c r="X176" s="1913"/>
      <c r="Y176" s="1340"/>
      <c r="Z176" s="1340"/>
      <c r="AA176" s="1909"/>
      <c r="AB176" s="2113"/>
      <c r="AC176" s="1935"/>
      <c r="AD176" s="1936"/>
      <c r="AE176" s="1937"/>
      <c r="AF176" s="1938"/>
      <c r="AG176" s="1938"/>
      <c r="AH176" s="1347"/>
      <c r="AI176" s="1348"/>
      <c r="AJ176" s="1349"/>
      <c r="AK176" s="1348"/>
      <c r="AL176" s="1350"/>
      <c r="AM176" s="1368"/>
      <c r="AN176" s="1939"/>
      <c r="AO176" s="1940"/>
      <c r="AP176" s="1941"/>
      <c r="AQ176" s="1942"/>
      <c r="AR176" s="1335"/>
      <c r="AS176" s="1943"/>
      <c r="AT176" s="1944"/>
      <c r="AU176" s="1945"/>
      <c r="AV176" s="1946"/>
      <c r="AW176" s="1945"/>
      <c r="AX176" s="1956"/>
      <c r="AY176" s="1976"/>
      <c r="AZ176" s="1947"/>
      <c r="BA176" s="2069"/>
      <c r="BB176" s="1948"/>
      <c r="BC176" s="1918"/>
      <c r="BD176" s="1919"/>
      <c r="BE176" s="1919"/>
      <c r="BF176" s="1949"/>
      <c r="BG176" s="1950"/>
      <c r="BH176" s="1951"/>
      <c r="BI176" s="1921"/>
      <c r="BJ176" s="1367"/>
      <c r="BK176" s="1922"/>
      <c r="BL176" s="1367"/>
      <c r="BM176" s="1923"/>
      <c r="BN176" s="1368"/>
      <c r="BO176" s="1952"/>
      <c r="BP176" s="1953"/>
      <c r="BQ176" s="1954"/>
      <c r="BR176" s="1366"/>
      <c r="BS176" s="1945"/>
      <c r="BT176" s="1955"/>
      <c r="BU176" s="1945"/>
      <c r="BV176" s="1956"/>
      <c r="BW176" s="1957"/>
      <c r="BX176" s="1958"/>
      <c r="BY176" s="1400"/>
      <c r="BZ176" s="1949"/>
      <c r="CA176" s="1375"/>
      <c r="CB176" s="1959"/>
      <c r="CC176" s="1960"/>
      <c r="CD176" s="1909"/>
      <c r="CE176" s="1927"/>
      <c r="CF176" s="1927"/>
      <c r="CG176" s="1961"/>
      <c r="CH176" s="1927"/>
      <c r="CI176" s="1927"/>
      <c r="CJ176" s="1927"/>
      <c r="CK176" s="1962"/>
      <c r="CL176" s="1326"/>
      <c r="CM176" s="1963"/>
      <c r="CN176" s="1326"/>
      <c r="CO176" s="1964"/>
      <c r="CP176" s="1962"/>
      <c r="CQ176" s="1326"/>
      <c r="CR176" s="1963"/>
      <c r="CS176" s="1326"/>
      <c r="CT176" s="1964"/>
      <c r="CU176" s="1965"/>
      <c r="CV176" s="1966"/>
      <c r="CW176" s="1339"/>
      <c r="CX176" s="1967"/>
      <c r="CY176" s="1339"/>
      <c r="CZ176" s="1967"/>
      <c r="DA176" s="1339"/>
      <c r="DB176" s="1967"/>
      <c r="DC176" s="1968"/>
      <c r="DD176" s="1969"/>
      <c r="DE176" s="1969"/>
      <c r="DF176" s="1909"/>
      <c r="DG176" s="1909"/>
      <c r="DH176" s="1909"/>
      <c r="DI176" s="1909"/>
      <c r="DJ176" s="1909"/>
      <c r="DK176" s="1909"/>
      <c r="DL176" s="1949"/>
      <c r="DM176" s="1326"/>
      <c r="DN176" s="1970"/>
      <c r="DO176" s="1971"/>
      <c r="DP176" s="1972"/>
      <c r="DQ176" s="1970"/>
      <c r="DR176" s="1964"/>
      <c r="DS176" s="1973"/>
      <c r="DT176" s="1974"/>
      <c r="DU176" s="1975"/>
      <c r="DV176" s="1976"/>
      <c r="DW176" s="1977"/>
      <c r="DX176" s="1912"/>
      <c r="DY176" s="1977"/>
      <c r="DZ176" s="1944"/>
      <c r="EA176" s="1946"/>
      <c r="EB176" s="1946"/>
      <c r="EC176" s="1946"/>
      <c r="ED176" s="1978"/>
      <c r="EE176" s="1946"/>
      <c r="EF176" s="1979"/>
      <c r="EG176" s="1944"/>
      <c r="EH176" s="1946"/>
      <c r="EI176" s="1946"/>
      <c r="EJ176" s="1946"/>
      <c r="EK176" s="1978"/>
      <c r="EL176" s="1927"/>
      <c r="EM176" s="1962"/>
      <c r="EN176" s="1980"/>
      <c r="EO176" s="1976"/>
      <c r="EP176" s="1926"/>
      <c r="EQ176" s="1926"/>
      <c r="ER176" s="1926"/>
      <c r="ES176" s="1926"/>
      <c r="ET176" s="1926"/>
      <c r="EU176" s="1926"/>
      <c r="EV176" s="1926"/>
      <c r="EW176" s="1926"/>
      <c r="EX176" s="1926"/>
      <c r="EY176" s="1926"/>
      <c r="EZ176" s="1926"/>
      <c r="FA176" s="1926"/>
      <c r="FB176" s="1926"/>
      <c r="FC176" s="1926"/>
      <c r="FD176" s="1926"/>
      <c r="FE176" s="1926"/>
      <c r="FF176" s="1926"/>
      <c r="FG176" s="1926"/>
      <c r="FH176" s="1926"/>
      <c r="FI176" s="1926"/>
      <c r="FJ176" s="1926"/>
      <c r="FK176" s="1926"/>
      <c r="FL176" s="1926"/>
      <c r="FM176" s="1926"/>
      <c r="FN176" s="1981"/>
      <c r="FO176" s="1981"/>
      <c r="FP176" s="1981"/>
      <c r="FQ176" s="1981"/>
      <c r="FR176" s="1981"/>
    </row>
    <row r="177" spans="1:174" s="1926" customFormat="1" ht="11.25" customHeight="1" x14ac:dyDescent="0.2">
      <c r="A177" s="1907"/>
      <c r="B177" s="1332"/>
      <c r="C177" s="1927"/>
      <c r="D177" s="1927"/>
      <c r="E177" s="1928"/>
      <c r="F177" s="1927"/>
      <c r="G177" s="1929"/>
      <c r="H177" s="1930"/>
      <c r="I177" s="1929"/>
      <c r="J177" s="1930"/>
      <c r="K177" s="1928"/>
      <c r="L177" s="1335"/>
      <c r="M177" s="1909"/>
      <c r="N177" s="1336"/>
      <c r="O177" s="1910"/>
      <c r="P177" s="1928"/>
      <c r="Q177" s="1332"/>
      <c r="R177" s="1931"/>
      <c r="S177" s="1912"/>
      <c r="T177" s="1932"/>
      <c r="U177" s="1933"/>
      <c r="V177" s="1913"/>
      <c r="W177" s="1914"/>
      <c r="X177" s="1913"/>
      <c r="Y177" s="1340"/>
      <c r="Z177" s="1340"/>
      <c r="AA177" s="1909"/>
      <c r="AB177" s="2113"/>
      <c r="AC177" s="1935"/>
      <c r="AD177" s="1936"/>
      <c r="AE177" s="1937"/>
      <c r="AF177" s="1938"/>
      <c r="AG177" s="1938"/>
      <c r="AH177" s="1347"/>
      <c r="AI177" s="1348"/>
      <c r="AJ177" s="1349"/>
      <c r="AK177" s="1348"/>
      <c r="AL177" s="1350"/>
      <c r="AM177" s="1368"/>
      <c r="AN177" s="1939"/>
      <c r="AO177" s="1940"/>
      <c r="AP177" s="1941"/>
      <c r="AQ177" s="1942"/>
      <c r="AR177" s="1335"/>
      <c r="AS177" s="1943"/>
      <c r="AT177" s="1944"/>
      <c r="AU177" s="1945"/>
      <c r="AV177" s="1946"/>
      <c r="AW177" s="1945"/>
      <c r="AX177" s="1956"/>
      <c r="AY177" s="1976"/>
      <c r="AZ177" s="1947"/>
      <c r="BA177" s="2069"/>
      <c r="BB177" s="1948"/>
      <c r="BC177" s="1918"/>
      <c r="BD177" s="1919"/>
      <c r="BE177" s="1919"/>
      <c r="BF177" s="1949"/>
      <c r="BG177" s="1953"/>
      <c r="BH177" s="1951"/>
      <c r="BI177" s="1921"/>
      <c r="BJ177" s="1367"/>
      <c r="BK177" s="1922"/>
      <c r="BL177" s="1367"/>
      <c r="BM177" s="1923"/>
      <c r="BN177" s="1368"/>
      <c r="BO177" s="1952"/>
      <c r="BP177" s="1953"/>
      <c r="BQ177" s="1954"/>
      <c r="BR177" s="1366"/>
      <c r="BS177" s="1945"/>
      <c r="BT177" s="1955"/>
      <c r="BU177" s="1945"/>
      <c r="BV177" s="1956"/>
      <c r="BW177" s="1957"/>
      <c r="BX177" s="1958"/>
      <c r="BY177" s="1400"/>
      <c r="BZ177" s="1949"/>
      <c r="CA177" s="1375"/>
      <c r="CB177" s="1959"/>
      <c r="CC177" s="1960"/>
      <c r="CD177" s="1909"/>
      <c r="CE177" s="1927"/>
      <c r="CF177" s="1927"/>
      <c r="CG177" s="1961"/>
      <c r="CH177" s="1927"/>
      <c r="CI177" s="1927"/>
      <c r="CJ177" s="1927"/>
      <c r="CK177" s="1962"/>
      <c r="CL177" s="1326"/>
      <c r="CM177" s="1963"/>
      <c r="CN177" s="1326"/>
      <c r="CO177" s="1964"/>
      <c r="CP177" s="1962"/>
      <c r="CQ177" s="1326"/>
      <c r="CR177" s="1963"/>
      <c r="CS177" s="1326"/>
      <c r="CT177" s="1964"/>
      <c r="CU177" s="1965"/>
      <c r="CV177" s="1966"/>
      <c r="CW177" s="1339"/>
      <c r="CX177" s="1967"/>
      <c r="CY177" s="1339"/>
      <c r="CZ177" s="1967"/>
      <c r="DA177" s="1339"/>
      <c r="DB177" s="1967"/>
      <c r="DC177" s="1968"/>
      <c r="DD177" s="1969"/>
      <c r="DE177" s="1969"/>
      <c r="DF177" s="1909"/>
      <c r="DG177" s="1909"/>
      <c r="DH177" s="1909"/>
      <c r="DI177" s="1909"/>
      <c r="DJ177" s="1909"/>
      <c r="DK177" s="1909"/>
      <c r="DL177" s="1949"/>
      <c r="DM177" s="1326"/>
      <c r="DN177" s="1970"/>
      <c r="DO177" s="1971"/>
      <c r="DP177" s="1972"/>
      <c r="DQ177" s="1970"/>
      <c r="DR177" s="1964"/>
      <c r="DS177" s="1973"/>
      <c r="DT177" s="1974"/>
      <c r="DU177" s="1975"/>
      <c r="DV177" s="1976"/>
      <c r="DW177" s="1977"/>
      <c r="DX177" s="1912"/>
      <c r="DY177" s="1977"/>
      <c r="DZ177" s="1944"/>
      <c r="EA177" s="1946"/>
      <c r="EB177" s="1946"/>
      <c r="EC177" s="1946"/>
      <c r="ED177" s="1978"/>
      <c r="EE177" s="1946"/>
      <c r="EF177" s="1979"/>
      <c r="EG177" s="1944"/>
      <c r="EH177" s="1946"/>
      <c r="EI177" s="1946"/>
      <c r="EJ177" s="1946"/>
      <c r="EK177" s="1978"/>
      <c r="EL177" s="1927"/>
      <c r="EM177" s="1962"/>
      <c r="EN177" s="1980"/>
      <c r="EO177" s="1976"/>
      <c r="FN177" s="2228"/>
      <c r="FO177" s="2228"/>
      <c r="FP177" s="2228"/>
      <c r="FQ177" s="2228"/>
      <c r="FR177" s="2228"/>
    </row>
    <row r="178" spans="1:174" s="2357" customFormat="1" x14ac:dyDescent="0.2">
      <c r="A178" s="1907"/>
      <c r="B178" s="2064"/>
      <c r="C178" s="1322"/>
      <c r="D178" s="1322"/>
      <c r="E178" s="1333"/>
      <c r="F178" s="1322"/>
      <c r="G178" s="1321"/>
      <c r="H178" s="1908"/>
      <c r="I178" s="1321"/>
      <c r="J178" s="1908"/>
      <c r="K178" s="1333"/>
      <c r="L178" s="1335"/>
      <c r="M178" s="1909"/>
      <c r="N178" s="1336"/>
      <c r="O178" s="1910"/>
      <c r="P178" s="1333"/>
      <c r="Q178" s="1332"/>
      <c r="R178" s="2096"/>
      <c r="S178" s="2096"/>
      <c r="T178" s="2316"/>
      <c r="U178" s="2317"/>
      <c r="V178" s="1961"/>
      <c r="W178" s="2318"/>
      <c r="X178" s="1401"/>
      <c r="Y178" s="2319"/>
      <c r="Z178" s="2319"/>
      <c r="AA178" s="2231"/>
      <c r="AB178" s="2065"/>
      <c r="AC178" s="2320"/>
      <c r="AD178" s="2320"/>
      <c r="AE178" s="2321"/>
      <c r="AF178" s="2321"/>
      <c r="AG178" s="2321"/>
      <c r="AH178" s="2322"/>
      <c r="AI178" s="2323"/>
      <c r="AJ178" s="2322"/>
      <c r="AK178" s="2323"/>
      <c r="AL178" s="2323"/>
      <c r="AM178" s="2324"/>
      <c r="AN178" s="2325"/>
      <c r="AO178" s="2326"/>
      <c r="AP178" s="2327"/>
      <c r="AQ178" s="2328"/>
      <c r="AR178" s="2327"/>
      <c r="AS178" s="2327"/>
      <c r="AT178" s="2111"/>
      <c r="AU178" s="2109"/>
      <c r="AV178" s="2078"/>
      <c r="AW178" s="2109"/>
      <c r="AX178" s="2329"/>
      <c r="AY178" s="2096"/>
      <c r="AZ178" s="2230"/>
      <c r="BA178" s="2330"/>
      <c r="BB178" s="2331"/>
      <c r="BC178" s="2332"/>
      <c r="BD178" s="2333"/>
      <c r="BE178" s="2333"/>
      <c r="BF178" s="2334"/>
      <c r="BG178" s="2335"/>
      <c r="BH178" s="2336"/>
      <c r="BI178" s="2337"/>
      <c r="BJ178" s="2338"/>
      <c r="BK178" s="2339"/>
      <c r="BL178" s="2338"/>
      <c r="BM178" s="2096"/>
      <c r="BN178" s="2324"/>
      <c r="BO178" s="2340"/>
      <c r="BP178" s="2335"/>
      <c r="BQ178" s="2325"/>
      <c r="BR178" s="2337"/>
      <c r="BS178" s="2109"/>
      <c r="BT178" s="2341"/>
      <c r="BU178" s="2109"/>
      <c r="BV178" s="2096"/>
      <c r="BW178" s="2342"/>
      <c r="BX178" s="2343"/>
      <c r="BY178" s="2344"/>
      <c r="BZ178" s="2334"/>
      <c r="CA178" s="2345"/>
      <c r="CB178" s="2346"/>
      <c r="CC178" s="2231"/>
      <c r="CD178" s="2231"/>
      <c r="CE178" s="2224"/>
      <c r="CF178" s="2224"/>
      <c r="CG178" s="1401"/>
      <c r="CH178" s="2224"/>
      <c r="CI178" s="2347"/>
      <c r="CJ178" s="2224"/>
      <c r="CK178" s="2223"/>
      <c r="CL178" s="2223"/>
      <c r="CM178" s="2224"/>
      <c r="CN178" s="2223"/>
      <c r="CO178" s="2223"/>
      <c r="CP178" s="2223"/>
      <c r="CQ178" s="2223"/>
      <c r="CR178" s="2224"/>
      <c r="CS178" s="2223"/>
      <c r="CT178" s="2223"/>
      <c r="CU178" s="2348"/>
      <c r="CV178" s="2349"/>
      <c r="CW178" s="2350"/>
      <c r="CX178" s="2350"/>
      <c r="CY178" s="2350"/>
      <c r="CZ178" s="2350"/>
      <c r="DA178" s="2350"/>
      <c r="DB178" s="2350"/>
      <c r="DC178" s="2351"/>
      <c r="DD178" s="2352"/>
      <c r="DE178" s="2353"/>
      <c r="DF178" s="2231"/>
      <c r="DG178" s="2231"/>
      <c r="DH178" s="2231"/>
      <c r="DI178" s="2231"/>
      <c r="DJ178" s="2231"/>
      <c r="DK178" s="2231"/>
      <c r="DL178" s="2334"/>
      <c r="DM178" s="2223"/>
      <c r="DN178" s="2224"/>
      <c r="DO178" s="2224"/>
      <c r="DP178" s="2224"/>
      <c r="DQ178" s="2224"/>
      <c r="DR178" s="2223"/>
      <c r="DS178" s="2223"/>
      <c r="DT178" s="2320"/>
      <c r="DU178" s="2354"/>
      <c r="DV178" s="2096"/>
      <c r="DW178" s="2096"/>
      <c r="DX178" s="2355"/>
      <c r="DY178" s="2096"/>
      <c r="DZ178" s="2111"/>
      <c r="EA178" s="2078"/>
      <c r="EB178" s="2078"/>
      <c r="EC178" s="2078"/>
      <c r="ED178" s="2356"/>
      <c r="EE178" s="2078"/>
      <c r="EF178" s="2224"/>
      <c r="EG178" s="2111"/>
      <c r="EH178" s="2078"/>
      <c r="EI178" s="2078"/>
      <c r="EJ178" s="2078"/>
      <c r="EK178" s="2356"/>
      <c r="EL178" s="2224"/>
      <c r="EM178" s="2223"/>
      <c r="EN178" s="2351"/>
      <c r="EO178" s="2096"/>
      <c r="EP178" s="2350"/>
      <c r="EQ178" s="2350"/>
      <c r="ER178" s="2350"/>
      <c r="ES178" s="2350"/>
      <c r="ET178" s="2350"/>
      <c r="EU178" s="2350"/>
      <c r="EV178" s="2350"/>
      <c r="EW178" s="2350"/>
      <c r="EX178" s="2350"/>
      <c r="EY178" s="2350"/>
      <c r="EZ178" s="2350"/>
      <c r="FA178" s="2350"/>
      <c r="FB178" s="2350"/>
      <c r="FC178" s="2350"/>
      <c r="FD178" s="2350"/>
      <c r="FE178" s="2350"/>
      <c r="FF178" s="2350"/>
      <c r="FG178" s="2350"/>
      <c r="FH178" s="2350"/>
      <c r="FI178" s="2350"/>
      <c r="FJ178" s="2350"/>
      <c r="FK178" s="2350"/>
      <c r="FL178" s="2350"/>
      <c r="FM178" s="2350"/>
      <c r="FN178" s="2347"/>
      <c r="FO178" s="2347"/>
      <c r="FP178" s="2347"/>
      <c r="FQ178" s="2347"/>
      <c r="FR178" s="2347"/>
    </row>
    <row r="179" spans="1:174" s="1398" customFormat="1" ht="11.25" customHeight="1" x14ac:dyDescent="0.2">
      <c r="A179" s="1907"/>
      <c r="B179" s="2064"/>
      <c r="C179" s="1322"/>
      <c r="D179" s="1322"/>
      <c r="E179" s="1333"/>
      <c r="F179" s="1322"/>
      <c r="G179" s="1321"/>
      <c r="H179" s="1908"/>
      <c r="I179" s="1321"/>
      <c r="J179" s="1908"/>
      <c r="K179" s="1333"/>
      <c r="L179" s="1335"/>
      <c r="M179" s="1909"/>
      <c r="N179" s="1336"/>
      <c r="O179" s="1910"/>
      <c r="P179" s="1333"/>
      <c r="Q179" s="1332"/>
      <c r="R179" s="1911"/>
      <c r="S179" s="1912"/>
      <c r="T179" s="1337"/>
      <c r="U179" s="1338"/>
      <c r="V179" s="1913"/>
      <c r="W179" s="1914"/>
      <c r="X179" s="1915"/>
      <c r="Y179" s="1340"/>
      <c r="Z179" s="1340"/>
      <c r="AA179" s="1341"/>
      <c r="AB179" s="1916"/>
      <c r="AC179" s="1343"/>
      <c r="AD179" s="1344"/>
      <c r="AE179" s="1345"/>
      <c r="AF179" s="1346"/>
      <c r="AG179" s="1346"/>
      <c r="AH179" s="1346"/>
      <c r="AI179" s="1348"/>
      <c r="AJ179" s="1346"/>
      <c r="AK179" s="1348"/>
      <c r="AL179" s="2358"/>
      <c r="AM179" s="1351"/>
      <c r="AN179" s="1352"/>
      <c r="AO179" s="1353"/>
      <c r="AP179" s="1354"/>
      <c r="AQ179" s="1355"/>
      <c r="AR179" s="1356"/>
      <c r="AS179" s="1357"/>
      <c r="AT179" s="1358"/>
      <c r="AU179" s="1359"/>
      <c r="AV179" s="1360"/>
      <c r="AW179" s="1359"/>
      <c r="AX179" s="1334"/>
      <c r="AY179" s="1323"/>
      <c r="AZ179" s="1917"/>
      <c r="BA179" s="1362"/>
      <c r="BB179" s="1363"/>
      <c r="BC179" s="1918"/>
      <c r="BD179" s="1919"/>
      <c r="BE179" s="1919"/>
      <c r="BF179" s="1364"/>
      <c r="BG179" s="1365"/>
      <c r="BH179" s="1920"/>
      <c r="BI179" s="1366"/>
      <c r="BJ179" s="1367"/>
      <c r="BK179" s="2359"/>
      <c r="BL179" s="1367"/>
      <c r="BM179" s="1334"/>
      <c r="BN179" s="1351"/>
      <c r="BO179" s="1369"/>
      <c r="BP179" s="1370"/>
      <c r="BQ179" s="1371"/>
      <c r="BR179" s="1366"/>
      <c r="BS179" s="1359"/>
      <c r="BT179" s="2360"/>
      <c r="BU179" s="1359"/>
      <c r="BV179" s="1334"/>
      <c r="BW179" s="1373"/>
      <c r="BX179" s="1374"/>
      <c r="BY179" s="1400"/>
      <c r="BZ179" s="1364"/>
      <c r="CA179" s="1375"/>
      <c r="CB179" s="1376"/>
      <c r="CC179" s="1377"/>
      <c r="CD179" s="1341"/>
      <c r="CE179" s="1322"/>
      <c r="CF179" s="1322"/>
      <c r="CG179" s="1401"/>
      <c r="CH179" s="1322"/>
      <c r="CI179" s="1378"/>
      <c r="CJ179" s="1322"/>
      <c r="CK179" s="1379"/>
      <c r="CL179" s="1380"/>
      <c r="CM179" s="1381"/>
      <c r="CN179" s="1380"/>
      <c r="CO179" s="1382"/>
      <c r="CP179" s="1379"/>
      <c r="CQ179" s="1380"/>
      <c r="CR179" s="1381"/>
      <c r="CS179" s="1380"/>
      <c r="CT179" s="1382"/>
      <c r="CU179" s="1383"/>
      <c r="CV179" s="1384"/>
      <c r="CW179" s="1385"/>
      <c r="CX179" s="1386"/>
      <c r="CY179" s="1385"/>
      <c r="CZ179" s="1386"/>
      <c r="DA179" s="1385"/>
      <c r="DB179" s="1386"/>
      <c r="DC179" s="1387"/>
      <c r="DD179" s="1388"/>
      <c r="DE179" s="1388"/>
      <c r="DF179" s="1341"/>
      <c r="DG179" s="1341"/>
      <c r="DH179" s="1341"/>
      <c r="DI179" s="1341"/>
      <c r="DJ179" s="1341"/>
      <c r="DK179" s="1341"/>
      <c r="DL179" s="1364"/>
      <c r="DM179" s="1380"/>
      <c r="DN179" s="1389"/>
      <c r="DO179" s="1322"/>
      <c r="DP179" s="1390"/>
      <c r="DQ179" s="1389"/>
      <c r="DR179" s="1382"/>
      <c r="DS179" s="1391"/>
      <c r="DT179" s="1392"/>
      <c r="DU179" s="1393"/>
      <c r="DV179" s="1323"/>
      <c r="DW179" s="1394"/>
      <c r="DX179" s="1912"/>
      <c r="DY179" s="1394"/>
      <c r="DZ179" s="1358"/>
      <c r="EA179" s="1360"/>
      <c r="EB179" s="2078"/>
      <c r="EC179" s="1360"/>
      <c r="ED179" s="1395"/>
      <c r="EE179" s="1360"/>
      <c r="EF179" s="1396"/>
      <c r="EG179" s="1358"/>
      <c r="EH179" s="1360"/>
      <c r="EI179" s="2078"/>
      <c r="EJ179" s="1360"/>
      <c r="EK179" s="1395"/>
      <c r="EL179" s="1322"/>
      <c r="EM179" s="1379"/>
      <c r="EN179" s="1397"/>
      <c r="EO179" s="1323"/>
    </row>
    <row r="180" spans="1:174" s="1981" customFormat="1" ht="11.25" customHeight="1" x14ac:dyDescent="0.2">
      <c r="A180" s="1907"/>
      <c r="B180" s="2064"/>
      <c r="C180" s="1322"/>
      <c r="D180" s="1322"/>
      <c r="E180" s="1333"/>
      <c r="F180" s="1322"/>
      <c r="G180" s="1321"/>
      <c r="H180" s="1908"/>
      <c r="I180" s="1321"/>
      <c r="J180" s="1908"/>
      <c r="K180" s="1333"/>
      <c r="L180" s="1335"/>
      <c r="M180" s="1909"/>
      <c r="N180" s="1336"/>
      <c r="O180" s="1910"/>
      <c r="P180" s="1333"/>
      <c r="Q180" s="1332"/>
      <c r="R180" s="1333"/>
      <c r="S180" s="2108"/>
      <c r="T180" s="1337"/>
      <c r="U180" s="1338"/>
      <c r="V180" s="1913"/>
      <c r="W180" s="1914"/>
      <c r="X180" s="1915"/>
      <c r="Y180" s="1340"/>
      <c r="Z180" s="1340"/>
      <c r="AA180" s="1341"/>
      <c r="AB180" s="1916"/>
      <c r="AC180" s="1343"/>
      <c r="AD180" s="1344"/>
      <c r="AE180" s="1345"/>
      <c r="AF180" s="1346"/>
      <c r="AG180" s="1346"/>
      <c r="AH180" s="1358"/>
      <c r="AI180" s="2109"/>
      <c r="AJ180" s="1360"/>
      <c r="AK180" s="1359"/>
      <c r="AL180" s="1334"/>
      <c r="AM180" s="1351"/>
      <c r="AN180" s="1352"/>
      <c r="AO180" s="2103"/>
      <c r="AP180" s="2104"/>
      <c r="AQ180" s="1355"/>
      <c r="AR180" s="1356"/>
      <c r="AS180" s="1357"/>
      <c r="AT180" s="1358"/>
      <c r="AU180" s="2109"/>
      <c r="AV180" s="1360"/>
      <c r="AW180" s="1359"/>
      <c r="AX180" s="1334"/>
      <c r="AY180" s="1323"/>
      <c r="AZ180" s="1361"/>
      <c r="BA180" s="1362"/>
      <c r="BB180" s="1363"/>
      <c r="BC180" s="1918"/>
      <c r="BD180" s="1919"/>
      <c r="BE180" s="1919"/>
      <c r="BF180" s="1364"/>
      <c r="BG180" s="1365"/>
      <c r="BH180" s="1920"/>
      <c r="BI180" s="1366"/>
      <c r="BJ180" s="1367"/>
      <c r="BK180" s="2359"/>
      <c r="BL180" s="1367"/>
      <c r="BM180" s="2361"/>
      <c r="BN180" s="1351"/>
      <c r="BO180" s="1369"/>
      <c r="BP180" s="1370"/>
      <c r="BQ180" s="1371"/>
      <c r="BR180" s="1366"/>
      <c r="BS180" s="1359"/>
      <c r="BT180" s="2360"/>
      <c r="BU180" s="1359"/>
      <c r="BV180" s="1334"/>
      <c r="BW180" s="1373"/>
      <c r="BX180" s="1374"/>
      <c r="BY180" s="1400"/>
      <c r="BZ180" s="1364"/>
      <c r="CA180" s="1375"/>
      <c r="CB180" s="1376"/>
      <c r="CC180" s="1377"/>
      <c r="CD180" s="1341"/>
      <c r="CE180" s="1322"/>
      <c r="CF180" s="1322"/>
      <c r="CG180" s="1401"/>
      <c r="CH180" s="1322"/>
      <c r="CI180" s="1378"/>
      <c r="CJ180" s="1322"/>
      <c r="CK180" s="1379"/>
      <c r="CL180" s="1380"/>
      <c r="CM180" s="1381"/>
      <c r="CN180" s="1380"/>
      <c r="CO180" s="1382"/>
      <c r="CP180" s="1379"/>
      <c r="CQ180" s="1380"/>
      <c r="CR180" s="1381"/>
      <c r="CS180" s="1380"/>
      <c r="CT180" s="1382"/>
      <c r="CU180" s="1383"/>
      <c r="CV180" s="1384"/>
      <c r="CW180" s="1385"/>
      <c r="CX180" s="1386"/>
      <c r="CY180" s="1385"/>
      <c r="CZ180" s="1386"/>
      <c r="DA180" s="1385"/>
      <c r="DB180" s="1386"/>
      <c r="DC180" s="1387"/>
      <c r="DD180" s="1388"/>
      <c r="DE180" s="1388"/>
      <c r="DF180" s="1341"/>
      <c r="DG180" s="1341"/>
      <c r="DH180" s="1341"/>
      <c r="DI180" s="1341"/>
      <c r="DJ180" s="1341"/>
      <c r="DK180" s="1341"/>
      <c r="DL180" s="1364"/>
      <c r="DM180" s="1380"/>
      <c r="DN180" s="1389"/>
      <c r="DO180" s="1322"/>
      <c r="DP180" s="1390"/>
      <c r="DQ180" s="1389"/>
      <c r="DR180" s="1382"/>
      <c r="DS180" s="1391"/>
      <c r="DT180" s="1392"/>
      <c r="DU180" s="1393"/>
      <c r="DV180" s="1323"/>
      <c r="DW180" s="1394"/>
      <c r="DX180" s="1912"/>
      <c r="DY180" s="1394"/>
      <c r="DZ180" s="1358"/>
      <c r="EA180" s="1360"/>
      <c r="EB180" s="2078"/>
      <c r="EC180" s="1360"/>
      <c r="ED180" s="1395"/>
      <c r="EE180" s="1360"/>
      <c r="EF180" s="1396"/>
      <c r="EG180" s="1358"/>
      <c r="EH180" s="1360"/>
      <c r="EI180" s="2078"/>
      <c r="EJ180" s="1360"/>
      <c r="EK180" s="1395"/>
      <c r="EL180" s="1322"/>
      <c r="EM180" s="1379"/>
      <c r="EN180" s="1397"/>
      <c r="EO180" s="1323"/>
      <c r="EP180" s="1398"/>
      <c r="EQ180" s="1398"/>
      <c r="ER180" s="1398"/>
      <c r="ES180" s="1398"/>
      <c r="ET180" s="1398"/>
      <c r="EU180" s="1398"/>
      <c r="EV180" s="1398"/>
      <c r="EW180" s="1398"/>
      <c r="EX180" s="1398"/>
      <c r="EY180" s="1398"/>
      <c r="EZ180" s="1398"/>
      <c r="FA180" s="1398"/>
      <c r="FB180" s="1398"/>
      <c r="FC180" s="1398"/>
      <c r="FD180" s="1398"/>
      <c r="FE180" s="1398"/>
      <c r="FF180" s="1398"/>
      <c r="FG180" s="1398"/>
      <c r="FH180" s="1398"/>
      <c r="FI180" s="1398"/>
      <c r="FJ180" s="1398"/>
      <c r="FK180" s="1398"/>
      <c r="FL180" s="1398"/>
      <c r="FM180" s="1398"/>
      <c r="FN180" s="2222"/>
      <c r="FO180" s="2222"/>
      <c r="FP180" s="2222"/>
      <c r="FQ180" s="2222"/>
      <c r="FR180" s="2222"/>
    </row>
  </sheetData>
  <autoFilter ref="A14:EF49"/>
  <mergeCells count="44">
    <mergeCell ref="V3:AQ3"/>
    <mergeCell ref="B1:S1"/>
    <mergeCell ref="V1:AQ1"/>
    <mergeCell ref="AR1:AX1"/>
    <mergeCell ref="B2:S2"/>
    <mergeCell ref="V2:AQ2"/>
    <mergeCell ref="B4:AY4"/>
    <mergeCell ref="B5:AY5"/>
    <mergeCell ref="B6:AY6"/>
    <mergeCell ref="B9:B11"/>
    <mergeCell ref="D9:D11"/>
    <mergeCell ref="E9:E11"/>
    <mergeCell ref="F9:F11"/>
    <mergeCell ref="M9:M11"/>
    <mergeCell ref="R9:S11"/>
    <mergeCell ref="V9:X11"/>
    <mergeCell ref="Y9:Y11"/>
    <mergeCell ref="AB9:AL9"/>
    <mergeCell ref="AM9:AN10"/>
    <mergeCell ref="AO9:AX9"/>
    <mergeCell ref="AY9:AY11"/>
    <mergeCell ref="BT9:BT11"/>
    <mergeCell ref="BU9:BU11"/>
    <mergeCell ref="AA10:AD11"/>
    <mergeCell ref="AE10:AE11"/>
    <mergeCell ref="AF10:AG11"/>
    <mergeCell ref="AH10:AL11"/>
    <mergeCell ref="AO10:AQ11"/>
    <mergeCell ref="AR10:AS11"/>
    <mergeCell ref="AV10:AX11"/>
    <mergeCell ref="BJ9:BJ11"/>
    <mergeCell ref="AB53:AY53"/>
    <mergeCell ref="R12:S12"/>
    <mergeCell ref="V12:W12"/>
    <mergeCell ref="AA12:AD12"/>
    <mergeCell ref="AF12:AG12"/>
    <mergeCell ref="AH12:AL12"/>
    <mergeCell ref="AM12:AN12"/>
    <mergeCell ref="AO12:AQ12"/>
    <mergeCell ref="AR12:AS12"/>
    <mergeCell ref="AT12:AX12"/>
    <mergeCell ref="AB47:AY47"/>
    <mergeCell ref="AB48:AY48"/>
    <mergeCell ref="AM50:AO50"/>
  </mergeCells>
  <conditionalFormatting sqref="DD67">
    <cfRule type="expression" dxfId="1188" priority="1012" stopIfTrue="1">
      <formula>IF(DE67&gt;0,1,0)</formula>
    </cfRule>
    <cfRule type="expression" dxfId="1187" priority="1013" stopIfTrue="1">
      <formula>IF(DE67=0,1,0)</formula>
    </cfRule>
  </conditionalFormatting>
  <conditionalFormatting sqref="DJ67 DK15:DK40 BJ15:BJ40">
    <cfRule type="cellIs" dxfId="1186" priority="1009" stopIfTrue="1" operator="between">
      <formula>"Hưu"</formula>
      <formula>"Hưu"</formula>
    </cfRule>
    <cfRule type="cellIs" dxfId="1185" priority="1010" stopIfTrue="1" operator="between">
      <formula>"---"</formula>
      <formula>"---"</formula>
    </cfRule>
    <cfRule type="cellIs" dxfId="1184" priority="1011" stopIfTrue="1" operator="between">
      <formula>"Quá"</formula>
      <formula>"Quá"</formula>
    </cfRule>
  </conditionalFormatting>
  <conditionalFormatting sqref="DA67">
    <cfRule type="cellIs" dxfId="1183" priority="1006" stopIfTrue="1" operator="between">
      <formula>"Đến"</formula>
      <formula>"Đến"</formula>
    </cfRule>
    <cfRule type="cellIs" dxfId="1182" priority="1007" stopIfTrue="1" operator="between">
      <formula>"Quá"</formula>
      <formula>"Quá"</formula>
    </cfRule>
    <cfRule type="expression" dxfId="1181" priority="1008" stopIfTrue="1">
      <formula>IF(OR(DA67="Lương Sớm Hưu",DA67="Nâng Ngạch Hưu"),1,0)</formula>
    </cfRule>
  </conditionalFormatting>
  <conditionalFormatting sqref="DI67">
    <cfRule type="expression" dxfId="1180" priority="1003" stopIfTrue="1">
      <formula>IF(DI67="Nâg Ngạch sau TB",1,0)</formula>
    </cfRule>
    <cfRule type="expression" dxfId="1179" priority="1004" stopIfTrue="1">
      <formula>IF(DI67="Nâg Lươg Sớm sau TB",1,0)</formula>
    </cfRule>
    <cfRule type="expression" dxfId="1178" priority="1005" stopIfTrue="1">
      <formula>IF(DI67="Nâg PC TNVK cùng QĐ",1,0)</formula>
    </cfRule>
  </conditionalFormatting>
  <conditionalFormatting sqref="A67">
    <cfRule type="expression" dxfId="1177" priority="1001" stopIfTrue="1">
      <formula>IF(#REF!="Hưu",1,0)</formula>
    </cfRule>
    <cfRule type="expression" dxfId="1176" priority="1002" stopIfTrue="1">
      <formula>IF(#REF!="Quá",1,0)</formula>
    </cfRule>
  </conditionalFormatting>
  <conditionalFormatting sqref="BD14 BB15:BB40 DB15:DB40">
    <cfRule type="cellIs" dxfId="1175" priority="999" stopIfTrue="1" operator="between">
      <formula>"Đến"</formula>
      <formula>"Đến"</formula>
    </cfRule>
    <cfRule type="cellIs" dxfId="1174" priority="1000" stopIfTrue="1" operator="between">
      <formula>"Quá"</formula>
      <formula>"Quá"</formula>
    </cfRule>
  </conditionalFormatting>
  <conditionalFormatting sqref="BL14">
    <cfRule type="cellIs" dxfId="1173" priority="996" stopIfTrue="1" operator="between">
      <formula>"Hưu"</formula>
      <formula>"Hưu"</formula>
    </cfRule>
    <cfRule type="cellIs" dxfId="1172" priority="997" stopIfTrue="1" operator="between">
      <formula>"---"</formula>
      <formula>"---"</formula>
    </cfRule>
    <cfRule type="cellIs" dxfId="1171" priority="998" stopIfTrue="1" operator="between">
      <formula>"Quá"</formula>
      <formula>"Quá"</formula>
    </cfRule>
  </conditionalFormatting>
  <conditionalFormatting sqref="DD13">
    <cfRule type="expression" dxfId="1170" priority="994" stopIfTrue="1">
      <formula>IF(DE13&gt;0,1,0)</formula>
    </cfRule>
    <cfRule type="expression" dxfId="1169" priority="995" stopIfTrue="1">
      <formula>IF(DE13=0,1,0)</formula>
    </cfRule>
  </conditionalFormatting>
  <conditionalFormatting sqref="DJ13 BL13">
    <cfRule type="cellIs" dxfId="1168" priority="991" stopIfTrue="1" operator="between">
      <formula>"Hưu"</formula>
      <formula>"Hưu"</formula>
    </cfRule>
    <cfRule type="cellIs" dxfId="1167" priority="992" stopIfTrue="1" operator="between">
      <formula>"---"</formula>
      <formula>"---"</formula>
    </cfRule>
    <cfRule type="cellIs" dxfId="1166" priority="993" stopIfTrue="1" operator="between">
      <formula>"Quá"</formula>
      <formula>"Quá"</formula>
    </cfRule>
  </conditionalFormatting>
  <conditionalFormatting sqref="BD13 DA13">
    <cfRule type="cellIs" dxfId="1165" priority="988" stopIfTrue="1" operator="between">
      <formula>"Đến"</formula>
      <formula>"Đến"</formula>
    </cfRule>
    <cfRule type="cellIs" dxfId="1164" priority="989" stopIfTrue="1" operator="between">
      <formula>"Quá"</formula>
      <formula>"Quá"</formula>
    </cfRule>
    <cfRule type="expression" dxfId="1163" priority="990" stopIfTrue="1">
      <formula>IF(OR(BD13="Lương Sớm Hưu",BD13="Nâng Ngạch Hưu"),1,0)</formula>
    </cfRule>
  </conditionalFormatting>
  <conditionalFormatting sqref="BK13 DI13">
    <cfRule type="expression" dxfId="1162" priority="985" stopIfTrue="1">
      <formula>IF(BK13="Nâg Ngạch sau TB",1,0)</formula>
    </cfRule>
    <cfRule type="expression" dxfId="1161" priority="986" stopIfTrue="1">
      <formula>IF(BK13="Nâg Lươg Sớm sau TB",1,0)</formula>
    </cfRule>
    <cfRule type="expression" dxfId="1160" priority="987" stopIfTrue="1">
      <formula>IF(BK13="Nâg PC TNVK cùng QĐ",1,0)</formula>
    </cfRule>
  </conditionalFormatting>
  <conditionalFormatting sqref="A13">
    <cfRule type="expression" dxfId="1159" priority="983" stopIfTrue="1">
      <formula>IF(#REF!="Hưu",1,0)</formula>
    </cfRule>
    <cfRule type="expression" dxfId="1158" priority="984" stopIfTrue="1">
      <formula>IF(#REF!="Quá",1,0)</formula>
    </cfRule>
  </conditionalFormatting>
  <conditionalFormatting sqref="BT14">
    <cfRule type="expression" dxfId="1157" priority="980" stopIfTrue="1">
      <formula>IF(AND(#REF!&gt;0,#REF!&lt;5),1,0)</formula>
    </cfRule>
    <cfRule type="expression" dxfId="1156" priority="981" stopIfTrue="1">
      <formula>IF(#REF!=5,1,0)</formula>
    </cfRule>
    <cfRule type="expression" dxfId="1155" priority="982" stopIfTrue="1">
      <formula>IF(#REF!&gt;5,1,0)</formula>
    </cfRule>
  </conditionalFormatting>
  <conditionalFormatting sqref="BD14">
    <cfRule type="expression" dxfId="1154" priority="979" stopIfTrue="1">
      <formula>IF(OR(#REF!="Lương Sớm Hưu",#REF!="Nâng Ngạch Hưu"),1,0)</formula>
    </cfRule>
  </conditionalFormatting>
  <conditionalFormatting sqref="BK14">
    <cfRule type="expression" dxfId="1153" priority="976" stopIfTrue="1">
      <formula>IF(#REF!="Nâg Ngạch sau TB",1,0)</formula>
    </cfRule>
    <cfRule type="expression" dxfId="1152" priority="977" stopIfTrue="1">
      <formula>IF(#REF!="Nâg Lươg Sớm sau TB",1,0)</formula>
    </cfRule>
    <cfRule type="expression" dxfId="1151" priority="978" stopIfTrue="1">
      <formula>IF(#REF!="Nâg PC TNVK cùng QĐ",1,0)</formula>
    </cfRule>
  </conditionalFormatting>
  <conditionalFormatting sqref="DD9:DD11">
    <cfRule type="expression" dxfId="1150" priority="974" stopIfTrue="1">
      <formula>IF(DE9&gt;0,1,0)</formula>
    </cfRule>
    <cfRule type="expression" dxfId="1149" priority="975" stopIfTrue="1">
      <formula>IF(DE9=0,1,0)</formula>
    </cfRule>
  </conditionalFormatting>
  <conditionalFormatting sqref="DJ9:DJ11">
    <cfRule type="cellIs" dxfId="1148" priority="971" stopIfTrue="1" operator="between">
      <formula>"Hưu"</formula>
      <formula>"Hưu"</formula>
    </cfRule>
    <cfRule type="cellIs" dxfId="1147" priority="972" stopIfTrue="1" operator="between">
      <formula>"---"</formula>
      <formula>"---"</formula>
    </cfRule>
    <cfRule type="cellIs" dxfId="1146" priority="973" stopIfTrue="1" operator="between">
      <formula>"Quá"</formula>
      <formula>"Quá"</formula>
    </cfRule>
  </conditionalFormatting>
  <conditionalFormatting sqref="DA9:DA11">
    <cfRule type="cellIs" dxfId="1145" priority="968" stopIfTrue="1" operator="between">
      <formula>"Đến"</formula>
      <formula>"Đến"</formula>
    </cfRule>
    <cfRule type="cellIs" dxfId="1144" priority="969" stopIfTrue="1" operator="between">
      <formula>"Quá"</formula>
      <formula>"Quá"</formula>
    </cfRule>
    <cfRule type="expression" dxfId="1143" priority="970" stopIfTrue="1">
      <formula>IF(OR(DA9="Lương Sớm Hưu",DA9="Nâng Ngạch Hưu"),1,0)</formula>
    </cfRule>
  </conditionalFormatting>
  <conditionalFormatting sqref="DI9:DI11">
    <cfRule type="expression" dxfId="1142" priority="965" stopIfTrue="1">
      <formula>IF(DI9="Nâg Ngạch sau TB",1,0)</formula>
    </cfRule>
    <cfRule type="expression" dxfId="1141" priority="966" stopIfTrue="1">
      <formula>IF(DI9="Nâg Lươg Sớm sau TB",1,0)</formula>
    </cfRule>
    <cfRule type="expression" dxfId="1140" priority="967" stopIfTrue="1">
      <formula>IF(DI9="Nâg PC TNVK cùng QĐ",1,0)</formula>
    </cfRule>
  </conditionalFormatting>
  <conditionalFormatting sqref="DD12">
    <cfRule type="expression" dxfId="1139" priority="963" stopIfTrue="1">
      <formula>IF(DE12&gt;0,1,0)</formula>
    </cfRule>
    <cfRule type="expression" dxfId="1138" priority="964" stopIfTrue="1">
      <formula>IF(DE12=0,1,0)</formula>
    </cfRule>
  </conditionalFormatting>
  <conditionalFormatting sqref="DJ12 BL12">
    <cfRule type="cellIs" dxfId="1137" priority="960" stopIfTrue="1" operator="between">
      <formula>"Hưu"</formula>
      <formula>"Hưu"</formula>
    </cfRule>
    <cfRule type="cellIs" dxfId="1136" priority="961" stopIfTrue="1" operator="between">
      <formula>"---"</formula>
      <formula>"---"</formula>
    </cfRule>
    <cfRule type="cellIs" dxfId="1135" priority="962" stopIfTrue="1" operator="between">
      <formula>"Quá"</formula>
      <formula>"Quá"</formula>
    </cfRule>
  </conditionalFormatting>
  <conditionalFormatting sqref="BD12 DA12">
    <cfRule type="cellIs" dxfId="1134" priority="957" stopIfTrue="1" operator="between">
      <formula>"Đến"</formula>
      <formula>"Đến"</formula>
    </cfRule>
    <cfRule type="cellIs" dxfId="1133" priority="958" stopIfTrue="1" operator="between">
      <formula>"Quá"</formula>
      <formula>"Quá"</formula>
    </cfRule>
    <cfRule type="expression" dxfId="1132" priority="959" stopIfTrue="1">
      <formula>IF(OR(BD12="Lương Sớm Hưu",BD12="Nâng Ngạch Hưu"),1,0)</formula>
    </cfRule>
  </conditionalFormatting>
  <conditionalFormatting sqref="BK12 DI12">
    <cfRule type="expression" dxfId="1131" priority="954" stopIfTrue="1">
      <formula>IF(BK12="Nâg Ngạch sau TB",1,0)</formula>
    </cfRule>
    <cfRule type="expression" dxfId="1130" priority="955" stopIfTrue="1">
      <formula>IF(BK12="Nâg Lươg Sớm sau TB",1,0)</formula>
    </cfRule>
    <cfRule type="expression" dxfId="1129" priority="956" stopIfTrue="1">
      <formula>IF(BK12="Nâg PC TNVK cùng QĐ",1,0)</formula>
    </cfRule>
  </conditionalFormatting>
  <conditionalFormatting sqref="A12">
    <cfRule type="expression" dxfId="1128" priority="952" stopIfTrue="1">
      <formula>IF(#REF!="Hưu",1,0)</formula>
    </cfRule>
    <cfRule type="expression" dxfId="1127" priority="953" stopIfTrue="1">
      <formula>IF(#REF!="Quá",1,0)</formula>
    </cfRule>
  </conditionalFormatting>
  <conditionalFormatting sqref="A9:A11">
    <cfRule type="expression" dxfId="1126" priority="950" stopIfTrue="1">
      <formula>IF(#REF!="Hưu",1,0)</formula>
    </cfRule>
    <cfRule type="expression" dxfId="1125" priority="951" stopIfTrue="1">
      <formula>IF(#REF!="Quá",1,0)</formula>
    </cfRule>
  </conditionalFormatting>
  <conditionalFormatting sqref="BJ71 DK71">
    <cfRule type="cellIs" dxfId="1124" priority="947" stopIfTrue="1" operator="between">
      <formula>"Hưu"</formula>
      <formula>"Hưu"</formula>
    </cfRule>
    <cfRule type="cellIs" dxfId="1123" priority="948" stopIfTrue="1" operator="between">
      <formula>"---"</formula>
      <formula>"---"</formula>
    </cfRule>
    <cfRule type="cellIs" dxfId="1122" priority="949" stopIfTrue="1" operator="between">
      <formula>"Quá"</formula>
      <formula>"Quá"</formula>
    </cfRule>
  </conditionalFormatting>
  <conditionalFormatting sqref="DB71 BB71">
    <cfRule type="cellIs" dxfId="1121" priority="945" stopIfTrue="1" operator="between">
      <formula>"Đến"</formula>
      <formula>"Đến"</formula>
    </cfRule>
    <cfRule type="cellIs" dxfId="1120" priority="946" stopIfTrue="1" operator="between">
      <formula>"Quá"</formula>
      <formula>"Quá"</formula>
    </cfRule>
  </conditionalFormatting>
  <conditionalFormatting sqref="BR71">
    <cfRule type="expression" dxfId="1119" priority="942" stopIfTrue="1">
      <formula>IF(AND(#REF!&gt;0,#REF!&lt;5),1,0)</formula>
    </cfRule>
    <cfRule type="expression" dxfId="1118" priority="943" stopIfTrue="1">
      <formula>IF(#REF!=5,1,0)</formula>
    </cfRule>
    <cfRule type="expression" dxfId="1117" priority="944" stopIfTrue="1">
      <formula>IF(#REF!&gt;5,1,0)</formula>
    </cfRule>
  </conditionalFormatting>
  <conditionalFormatting sqref="A71">
    <cfRule type="expression" dxfId="1116" priority="940" stopIfTrue="1">
      <formula>IF(#REF!="Hưu",1,0)</formula>
    </cfRule>
    <cfRule type="expression" dxfId="1115" priority="941" stopIfTrue="1">
      <formula>IF(#REF!="Quá",1,0)</formula>
    </cfRule>
  </conditionalFormatting>
  <conditionalFormatting sqref="BE71">
    <cfRule type="expression" dxfId="1114" priority="938" stopIfTrue="1">
      <formula>IF(#REF!&gt;0,1,0)</formula>
    </cfRule>
    <cfRule type="expression" dxfId="1113" priority="939" stopIfTrue="1">
      <formula>IF(#REF!=0,1,0)</formula>
    </cfRule>
  </conditionalFormatting>
  <conditionalFormatting sqref="BB71">
    <cfRule type="expression" dxfId="1112" priority="937" stopIfTrue="1">
      <formula>IF(OR(#REF!="Lương Sớm Hưu",#REF!="Nâng Ngạch Hưu"),1,0)</formula>
    </cfRule>
  </conditionalFormatting>
  <conditionalFormatting sqref="BI71">
    <cfRule type="expression" dxfId="1111" priority="934" stopIfTrue="1">
      <formula>IF(#REF!="Nâg Ngạch sau TB",1,0)</formula>
    </cfRule>
    <cfRule type="expression" dxfId="1110" priority="935" stopIfTrue="1">
      <formula>IF(#REF!="Nâg Lươg Sớm sau TB",1,0)</formula>
    </cfRule>
    <cfRule type="expression" dxfId="1109" priority="936" stopIfTrue="1">
      <formula>IF(#REF!="Nâg PC TNVK cùng QĐ",1,0)</formula>
    </cfRule>
  </conditionalFormatting>
  <conditionalFormatting sqref="DE71">
    <cfRule type="expression" dxfId="1108" priority="932" stopIfTrue="1">
      <formula>IF(#REF!&gt;0,1,0)</formula>
    </cfRule>
    <cfRule type="expression" dxfId="1107" priority="933" stopIfTrue="1">
      <formula>IF(#REF!=0,1,0)</formula>
    </cfRule>
  </conditionalFormatting>
  <conditionalFormatting sqref="DB71">
    <cfRule type="expression" dxfId="1106" priority="931" stopIfTrue="1">
      <formula>IF(OR(#REF!="Lương Sớm Hưu",#REF!="Nâng Ngạch Hưu"),1,0)</formula>
    </cfRule>
  </conditionalFormatting>
  <conditionalFormatting sqref="DJ71">
    <cfRule type="expression" dxfId="1105" priority="928" stopIfTrue="1">
      <formula>IF(#REF!="Nâg Ngạch sau TB",1,0)</formula>
    </cfRule>
    <cfRule type="expression" dxfId="1104" priority="929" stopIfTrue="1">
      <formula>IF(#REF!="Nâg Lươg Sớm sau TB",1,0)</formula>
    </cfRule>
    <cfRule type="expression" dxfId="1103" priority="930" stopIfTrue="1">
      <formula>IF(#REF!="Nâg PC TNVK cùng QĐ",1,0)</formula>
    </cfRule>
  </conditionalFormatting>
  <conditionalFormatting sqref="BJ70 DK70">
    <cfRule type="cellIs" dxfId="1102" priority="925" stopIfTrue="1" operator="between">
      <formula>"Hưu"</formula>
      <formula>"Hưu"</formula>
    </cfRule>
    <cfRule type="cellIs" dxfId="1101" priority="926" stopIfTrue="1" operator="between">
      <formula>"---"</formula>
      <formula>"---"</formula>
    </cfRule>
    <cfRule type="cellIs" dxfId="1100" priority="927" stopIfTrue="1" operator="between">
      <formula>"Quá"</formula>
      <formula>"Quá"</formula>
    </cfRule>
  </conditionalFormatting>
  <conditionalFormatting sqref="DB70 BB70">
    <cfRule type="cellIs" dxfId="1099" priority="923" stopIfTrue="1" operator="between">
      <formula>"Đến"</formula>
      <formula>"Đến"</formula>
    </cfRule>
    <cfRule type="cellIs" dxfId="1098" priority="924" stopIfTrue="1" operator="between">
      <formula>"Quá"</formula>
      <formula>"Quá"</formula>
    </cfRule>
  </conditionalFormatting>
  <conditionalFormatting sqref="BR70">
    <cfRule type="expression" dxfId="1097" priority="920" stopIfTrue="1">
      <formula>IF(AND(#REF!&gt;0,#REF!&lt;5),1,0)</formula>
    </cfRule>
    <cfRule type="expression" dxfId="1096" priority="921" stopIfTrue="1">
      <formula>IF(#REF!=5,1,0)</formula>
    </cfRule>
    <cfRule type="expression" dxfId="1095" priority="922" stopIfTrue="1">
      <formula>IF(#REF!&gt;5,1,0)</formula>
    </cfRule>
  </conditionalFormatting>
  <conditionalFormatting sqref="A70">
    <cfRule type="expression" dxfId="1094" priority="918" stopIfTrue="1">
      <formula>IF(#REF!="Hưu",1,0)</formula>
    </cfRule>
    <cfRule type="expression" dxfId="1093" priority="919" stopIfTrue="1">
      <formula>IF(#REF!="Quá",1,0)</formula>
    </cfRule>
  </conditionalFormatting>
  <conditionalFormatting sqref="BE70">
    <cfRule type="expression" dxfId="1092" priority="916" stopIfTrue="1">
      <formula>IF(#REF!&gt;0,1,0)</formula>
    </cfRule>
    <cfRule type="expression" dxfId="1091" priority="917" stopIfTrue="1">
      <formula>IF(#REF!=0,1,0)</formula>
    </cfRule>
  </conditionalFormatting>
  <conditionalFormatting sqref="BB70">
    <cfRule type="expression" dxfId="1090" priority="915" stopIfTrue="1">
      <formula>IF(OR(#REF!="Lương Sớm Hưu",#REF!="Nâng Ngạch Hưu"),1,0)</formula>
    </cfRule>
  </conditionalFormatting>
  <conditionalFormatting sqref="BI70">
    <cfRule type="expression" dxfId="1089" priority="912" stopIfTrue="1">
      <formula>IF(#REF!="Nâg Ngạch sau TB",1,0)</formula>
    </cfRule>
    <cfRule type="expression" dxfId="1088" priority="913" stopIfTrue="1">
      <formula>IF(#REF!="Nâg Lươg Sớm sau TB",1,0)</formula>
    </cfRule>
    <cfRule type="expression" dxfId="1087" priority="914" stopIfTrue="1">
      <formula>IF(#REF!="Nâg PC TNVK cùng QĐ",1,0)</formula>
    </cfRule>
  </conditionalFormatting>
  <conditionalFormatting sqref="DE70">
    <cfRule type="expression" dxfId="1086" priority="910" stopIfTrue="1">
      <formula>IF(#REF!&gt;0,1,0)</formula>
    </cfRule>
    <cfRule type="expression" dxfId="1085" priority="911" stopIfTrue="1">
      <formula>IF(#REF!=0,1,0)</formula>
    </cfRule>
  </conditionalFormatting>
  <conditionalFormatting sqref="DB70">
    <cfRule type="expression" dxfId="1084" priority="909" stopIfTrue="1">
      <formula>IF(OR(#REF!="Lương Sớm Hưu",#REF!="Nâng Ngạch Hưu"),1,0)</formula>
    </cfRule>
  </conditionalFormatting>
  <conditionalFormatting sqref="DJ70">
    <cfRule type="expression" dxfId="1083" priority="906" stopIfTrue="1">
      <formula>IF(#REF!="Nâg Ngạch sau TB",1,0)</formula>
    </cfRule>
    <cfRule type="expression" dxfId="1082" priority="907" stopIfTrue="1">
      <formula>IF(#REF!="Nâg Lươg Sớm sau TB",1,0)</formula>
    </cfRule>
    <cfRule type="expression" dxfId="1081" priority="908" stopIfTrue="1">
      <formula>IF(#REF!="Nâg PC TNVK cùng QĐ",1,0)</formula>
    </cfRule>
  </conditionalFormatting>
  <conditionalFormatting sqref="BJ68 DK68">
    <cfRule type="cellIs" dxfId="1080" priority="903" stopIfTrue="1" operator="between">
      <formula>"Hưu"</formula>
      <formula>"Hưu"</formula>
    </cfRule>
    <cfRule type="cellIs" dxfId="1079" priority="904" stopIfTrue="1" operator="between">
      <formula>"---"</formula>
      <formula>"---"</formula>
    </cfRule>
    <cfRule type="cellIs" dxfId="1078" priority="905" stopIfTrue="1" operator="between">
      <formula>"Quá"</formula>
      <formula>"Quá"</formula>
    </cfRule>
  </conditionalFormatting>
  <conditionalFormatting sqref="DB68 BB68">
    <cfRule type="cellIs" dxfId="1077" priority="901" stopIfTrue="1" operator="between">
      <formula>"Đến"</formula>
      <formula>"Đến"</formula>
    </cfRule>
    <cfRule type="cellIs" dxfId="1076" priority="902" stopIfTrue="1" operator="between">
      <formula>"Quá"</formula>
      <formula>"Quá"</formula>
    </cfRule>
  </conditionalFormatting>
  <conditionalFormatting sqref="BR68">
    <cfRule type="expression" dxfId="1075" priority="898" stopIfTrue="1">
      <formula>IF(AND(#REF!&gt;0,#REF!&lt;5),1,0)</formula>
    </cfRule>
    <cfRule type="expression" dxfId="1074" priority="899" stopIfTrue="1">
      <formula>IF(#REF!=5,1,0)</formula>
    </cfRule>
    <cfRule type="expression" dxfId="1073" priority="900" stopIfTrue="1">
      <formula>IF(#REF!&gt;5,1,0)</formula>
    </cfRule>
  </conditionalFormatting>
  <conditionalFormatting sqref="A68">
    <cfRule type="expression" dxfId="1072" priority="896" stopIfTrue="1">
      <formula>IF(#REF!="Hưu",1,0)</formula>
    </cfRule>
    <cfRule type="expression" dxfId="1071" priority="897" stopIfTrue="1">
      <formula>IF(#REF!="Quá",1,0)</formula>
    </cfRule>
  </conditionalFormatting>
  <conditionalFormatting sqref="BE68">
    <cfRule type="expression" dxfId="1070" priority="894" stopIfTrue="1">
      <formula>IF(#REF!&gt;0,1,0)</formula>
    </cfRule>
    <cfRule type="expression" dxfId="1069" priority="895" stopIfTrue="1">
      <formula>IF(#REF!=0,1,0)</formula>
    </cfRule>
  </conditionalFormatting>
  <conditionalFormatting sqref="BB68">
    <cfRule type="expression" dxfId="1068" priority="893" stopIfTrue="1">
      <formula>IF(OR(#REF!="Lương Sớm Hưu",#REF!="Nâng Ngạch Hưu"),1,0)</formula>
    </cfRule>
  </conditionalFormatting>
  <conditionalFormatting sqref="BI68">
    <cfRule type="expression" dxfId="1067" priority="890" stopIfTrue="1">
      <formula>IF(#REF!="Nâg Ngạch sau TB",1,0)</formula>
    </cfRule>
    <cfRule type="expression" dxfId="1066" priority="891" stopIfTrue="1">
      <formula>IF(#REF!="Nâg Lươg Sớm sau TB",1,0)</formula>
    </cfRule>
    <cfRule type="expression" dxfId="1065" priority="892" stopIfTrue="1">
      <formula>IF(#REF!="Nâg PC TNVK cùng QĐ",1,0)</formula>
    </cfRule>
  </conditionalFormatting>
  <conditionalFormatting sqref="DE68">
    <cfRule type="expression" dxfId="1064" priority="888" stopIfTrue="1">
      <formula>IF(#REF!&gt;0,1,0)</formula>
    </cfRule>
    <cfRule type="expression" dxfId="1063" priority="889" stopIfTrue="1">
      <formula>IF(#REF!=0,1,0)</formula>
    </cfRule>
  </conditionalFormatting>
  <conditionalFormatting sqref="DB68">
    <cfRule type="expression" dxfId="1062" priority="887" stopIfTrue="1">
      <formula>IF(OR(#REF!="Lương Sớm Hưu",#REF!="Nâng Ngạch Hưu"),1,0)</formula>
    </cfRule>
  </conditionalFormatting>
  <conditionalFormatting sqref="DJ68">
    <cfRule type="expression" dxfId="1061" priority="884" stopIfTrue="1">
      <formula>IF(#REF!="Nâg Ngạch sau TB",1,0)</formula>
    </cfRule>
    <cfRule type="expression" dxfId="1060" priority="885" stopIfTrue="1">
      <formula>IF(#REF!="Nâg Lươg Sớm sau TB",1,0)</formula>
    </cfRule>
    <cfRule type="expression" dxfId="1059" priority="886" stopIfTrue="1">
      <formula>IF(#REF!="Nâg PC TNVK cùng QĐ",1,0)</formula>
    </cfRule>
  </conditionalFormatting>
  <conditionalFormatting sqref="DK69 BJ69">
    <cfRule type="cellIs" dxfId="1058" priority="881" stopIfTrue="1" operator="between">
      <formula>"Hưu"</formula>
      <formula>"Hưu"</formula>
    </cfRule>
    <cfRule type="cellIs" dxfId="1057" priority="882" stopIfTrue="1" operator="between">
      <formula>"---"</formula>
      <formula>"---"</formula>
    </cfRule>
    <cfRule type="cellIs" dxfId="1056" priority="883" stopIfTrue="1" operator="between">
      <formula>"Quá"</formula>
      <formula>"Quá"</formula>
    </cfRule>
  </conditionalFormatting>
  <conditionalFormatting sqref="BB69 DB69">
    <cfRule type="cellIs" dxfId="1055" priority="879" stopIfTrue="1" operator="between">
      <formula>"Đến"</formula>
      <formula>"Đến"</formula>
    </cfRule>
    <cfRule type="cellIs" dxfId="1054" priority="880" stopIfTrue="1" operator="between">
      <formula>"Quá"</formula>
      <formula>"Quá"</formula>
    </cfRule>
  </conditionalFormatting>
  <conditionalFormatting sqref="BR69">
    <cfRule type="expression" dxfId="1053" priority="876" stopIfTrue="1">
      <formula>IF(AND(#REF!&gt;0,#REF!&lt;5),1,0)</formula>
    </cfRule>
    <cfRule type="expression" dxfId="1052" priority="877" stopIfTrue="1">
      <formula>IF(#REF!=5,1,0)</formula>
    </cfRule>
    <cfRule type="expression" dxfId="1051" priority="878" stopIfTrue="1">
      <formula>IF(#REF!&gt;5,1,0)</formula>
    </cfRule>
  </conditionalFormatting>
  <conditionalFormatting sqref="A69">
    <cfRule type="expression" dxfId="1050" priority="874" stopIfTrue="1">
      <formula>IF(#REF!="Hưu",1,0)</formula>
    </cfRule>
    <cfRule type="expression" dxfId="1049" priority="875" stopIfTrue="1">
      <formula>IF(#REF!="Quá",1,0)</formula>
    </cfRule>
  </conditionalFormatting>
  <conditionalFormatting sqref="BE69">
    <cfRule type="expression" dxfId="1048" priority="872" stopIfTrue="1">
      <formula>IF(#REF!&gt;0,1,0)</formula>
    </cfRule>
    <cfRule type="expression" dxfId="1047" priority="873" stopIfTrue="1">
      <formula>IF(#REF!=0,1,0)</formula>
    </cfRule>
  </conditionalFormatting>
  <conditionalFormatting sqref="BB69">
    <cfRule type="expression" dxfId="1046" priority="871" stopIfTrue="1">
      <formula>IF(OR(#REF!="Lương Sớm Hưu",#REF!="Nâng Ngạch Hưu"),1,0)</formula>
    </cfRule>
  </conditionalFormatting>
  <conditionalFormatting sqref="BI69">
    <cfRule type="expression" dxfId="1045" priority="868" stopIfTrue="1">
      <formula>IF(#REF!="Nâg Ngạch sau TB",1,0)</formula>
    </cfRule>
    <cfRule type="expression" dxfId="1044" priority="869" stopIfTrue="1">
      <formula>IF(#REF!="Nâg Lươg Sớm sau TB",1,0)</formula>
    </cfRule>
    <cfRule type="expression" dxfId="1043" priority="870" stopIfTrue="1">
      <formula>IF(#REF!="Nâg PC TNVK cùng QĐ",1,0)</formula>
    </cfRule>
  </conditionalFormatting>
  <conditionalFormatting sqref="DE69">
    <cfRule type="expression" dxfId="1042" priority="866" stopIfTrue="1">
      <formula>IF(#REF!&gt;0,1,0)</formula>
    </cfRule>
    <cfRule type="expression" dxfId="1041" priority="867" stopIfTrue="1">
      <formula>IF(#REF!=0,1,0)</formula>
    </cfRule>
  </conditionalFormatting>
  <conditionalFormatting sqref="DB69">
    <cfRule type="expression" dxfId="1040" priority="865" stopIfTrue="1">
      <formula>IF(OR(#REF!="Lương Sớm Hưu",#REF!="Nâng Ngạch Hưu"),1,0)</formula>
    </cfRule>
  </conditionalFormatting>
  <conditionalFormatting sqref="DJ69">
    <cfRule type="expression" dxfId="1039" priority="862" stopIfTrue="1">
      <formula>IF(#REF!="Nâg Ngạch sau TB",1,0)</formula>
    </cfRule>
    <cfRule type="expression" dxfId="1038" priority="863" stopIfTrue="1">
      <formula>IF(#REF!="Nâg Lươg Sớm sau TB",1,0)</formula>
    </cfRule>
    <cfRule type="expression" dxfId="1037" priority="864" stopIfTrue="1">
      <formula>IF(#REF!="Nâg PC TNVK cùng QĐ",1,0)</formula>
    </cfRule>
  </conditionalFormatting>
  <conditionalFormatting sqref="DN69 DN15:DN40">
    <cfRule type="expression" dxfId="1036" priority="859" stopIfTrue="1">
      <formula>IF(FF15="Hưu",1,0)</formula>
    </cfRule>
    <cfRule type="expression" dxfId="1035" priority="860" stopIfTrue="1">
      <formula>IF(FF15="Quá",1,0)</formula>
    </cfRule>
    <cfRule type="expression" dxfId="1034" priority="861" stopIfTrue="1">
      <formula>IF(EN15="Lùi",1,0)</formula>
    </cfRule>
  </conditionalFormatting>
  <conditionalFormatting sqref="DU69 DU15:DU40">
    <cfRule type="expression" dxfId="1033" priority="857" stopIfTrue="1">
      <formula>IF(FK15="Hưu",1,0)</formula>
    </cfRule>
    <cfRule type="expression" dxfId="1032" priority="858" stopIfTrue="1">
      <formula>IF(FK15="Quá",1,0)</formula>
    </cfRule>
  </conditionalFormatting>
  <conditionalFormatting sqref="CU69 CU15:CU40">
    <cfRule type="cellIs" dxfId="1031" priority="854" stopIfTrue="1" operator="between">
      <formula>"Hưu"</formula>
      <formula>"Hưu"</formula>
    </cfRule>
    <cfRule type="cellIs" dxfId="1030" priority="855" stopIfTrue="1" operator="between">
      <formula>"---"</formula>
      <formula>"---"</formula>
    </cfRule>
    <cfRule type="cellIs" dxfId="1029" priority="856" stopIfTrue="1" operator="between">
      <formula>"Quá"</formula>
      <formula>"Quá"</formula>
    </cfRule>
  </conditionalFormatting>
  <conditionalFormatting sqref="BF69 BF15:BF40">
    <cfRule type="cellIs" dxfId="1028" priority="853" stopIfTrue="1" operator="between">
      <formula>4</formula>
      <formula>4</formula>
    </cfRule>
  </conditionalFormatting>
  <conditionalFormatting sqref="BE69 BE15:BE40">
    <cfRule type="expression" dxfId="1027" priority="851" stopIfTrue="1">
      <formula>IF(BE15="Đến %",1,0)</formula>
    </cfRule>
    <cfRule type="expression" dxfId="1026" priority="852" stopIfTrue="1">
      <formula>IF(BE15="Dừng %",1,0)</formula>
    </cfRule>
  </conditionalFormatting>
  <conditionalFormatting sqref="BW69 BW15:BW40">
    <cfRule type="cellIs" dxfId="1025" priority="850" stopIfTrue="1" operator="between">
      <formula>0</formula>
      <formula>13</formula>
    </cfRule>
  </conditionalFormatting>
  <conditionalFormatting sqref="EC69 EC15:EC40">
    <cfRule type="expression" dxfId="1024" priority="849" stopIfTrue="1">
      <formula>IF(EC15="Sửa",1,0)</formula>
    </cfRule>
  </conditionalFormatting>
  <conditionalFormatting sqref="BS69 BS15:BS40">
    <cfRule type="expression" dxfId="1023" priority="848" stopIfTrue="1">
      <formula>IF(AND(BX15=0,OR($AA$4-BS15&gt;BX15,$AA$4-BS15&lt;BX15)),1,0)</formula>
    </cfRule>
  </conditionalFormatting>
  <conditionalFormatting sqref="BM69 BM15:BM40">
    <cfRule type="expression" dxfId="1022" priority="847" stopIfTrue="1">
      <formula>IF(AND(BX15=0,BM15&gt;0),1,0)</formula>
    </cfRule>
  </conditionalFormatting>
  <conditionalFormatting sqref="BI69:BJ69 BI15:BJ40">
    <cfRule type="expression" dxfId="1021" priority="846" stopIfTrue="1">
      <formula>IF(AND(BR15=0,OR($AA$4-BI15&gt;BR15,$AA$4-BI15&lt;BR15)),1,0)</formula>
    </cfRule>
  </conditionalFormatting>
  <conditionalFormatting sqref="BQ69 BQ15:BQ40">
    <cfRule type="expression" dxfId="1020" priority="845" stopIfTrue="1">
      <formula>IF(AND(BN15=0,OR($AA$4-BQ15&gt;BN15,$AA$4-BQ15&lt;BN15)),1,0)</formula>
    </cfRule>
  </conditionalFormatting>
  <conditionalFormatting sqref="C69 C15:C40">
    <cfRule type="expression" dxfId="1019" priority="842" stopIfTrue="1">
      <formula>IF(CX15="Hưu",1,0)</formula>
    </cfRule>
    <cfRule type="expression" dxfId="1018" priority="843" stopIfTrue="1">
      <formula>IF(CX15="Quá",1,0)</formula>
    </cfRule>
    <cfRule type="expression" dxfId="1017" priority="844" stopIfTrue="1">
      <formula>IF(BC15="Lùi",1,0)</formula>
    </cfRule>
  </conditionalFormatting>
  <conditionalFormatting sqref="A69 A15:A40">
    <cfRule type="expression" dxfId="1016" priority="839" stopIfTrue="1">
      <formula>IF(CV15="Hưu",1,0)</formula>
    </cfRule>
    <cfRule type="expression" dxfId="1015" priority="840" stopIfTrue="1">
      <formula>IF(CV15="Quá",1,0)</formula>
    </cfRule>
    <cfRule type="expression" dxfId="1014" priority="841" stopIfTrue="1">
      <formula>IF(AM15="Lùi",1,0)</formula>
    </cfRule>
  </conditionalFormatting>
  <conditionalFormatting sqref="E179 E177 E169 E157 E155 E173:E175 E142:E153 E137 E139:E140 E160:E167 E130:E134 E117 E120:E124">
    <cfRule type="expression" dxfId="1013" priority="837" stopIfTrue="1">
      <formula>IF(CW117="Hưu",1,0)</formula>
    </cfRule>
    <cfRule type="expression" dxfId="1012" priority="838" stopIfTrue="1">
      <formula>IF(CW117="Quá",1,0)</formula>
    </cfRule>
  </conditionalFormatting>
  <conditionalFormatting sqref="DO152:DO154 DO143:DO149 DO156:DO165 DO167:DO177 DO130:DO141 DO121 DO123">
    <cfRule type="expression" dxfId="1011" priority="834" stopIfTrue="1">
      <formula>IF(FI121="Hưu",1,0)</formula>
    </cfRule>
    <cfRule type="expression" dxfId="1010" priority="835" stopIfTrue="1">
      <formula>IF(FI121="Quá",1,0)</formula>
    </cfRule>
    <cfRule type="expression" dxfId="1009" priority="836" stopIfTrue="1">
      <formula>IF(EQ121="Lùi",1,0)</formula>
    </cfRule>
  </conditionalFormatting>
  <conditionalFormatting sqref="DV179 DV169 DV157 DV173:DV177 DV137 DV139:DV140 DV142:DV155 DV160:DV167 DV117 DV130:DV134 DV120:DV124">
    <cfRule type="expression" dxfId="1008" priority="832" stopIfTrue="1">
      <formula>IF(FN117="Hưu",1,0)</formula>
    </cfRule>
    <cfRule type="expression" dxfId="1007" priority="833" stopIfTrue="1">
      <formula>IF(FN117="Quá",1,0)</formula>
    </cfRule>
  </conditionalFormatting>
  <conditionalFormatting sqref="AB179 AB140:AB153 AB155:AB175 AB130:AB138 AB117 AB120:AB124">
    <cfRule type="cellIs" dxfId="1006" priority="829" stopIfTrue="1" operator="between">
      <formula>0</formula>
      <formula>0</formula>
    </cfRule>
    <cfRule type="expression" dxfId="1005" priority="830" stopIfTrue="1">
      <formula>IF(AND(AD117&gt;AB117,AB117&gt;0),1,0)</formula>
    </cfRule>
    <cfRule type="expression" dxfId="1004" priority="831" stopIfTrue="1">
      <formula>IF(AD117&lt;AB117,1,0)</formula>
    </cfRule>
  </conditionalFormatting>
  <conditionalFormatting sqref="BX179 BX172:BX173 BX147:BX149 BX152:BX154 BX156:BX158 BX175:BX177 BX160:BX170 BX120 BX130:BX145 BX123">
    <cfRule type="cellIs" dxfId="1003" priority="828" stopIfTrue="1" operator="between">
      <formula>0</formula>
      <formula>13</formula>
    </cfRule>
  </conditionalFormatting>
  <conditionalFormatting sqref="AM179 AM117 AM130:AM177 AM120:AM124">
    <cfRule type="expression" dxfId="1002" priority="827" stopIfTrue="1">
      <formula>IF(AND(BC117=0,AM117&gt;0),1,0)</formula>
    </cfRule>
  </conditionalFormatting>
  <conditionalFormatting sqref="BT179 BT117 BT130:BT177 BT120:BT124">
    <cfRule type="expression" dxfId="1001" priority="826" stopIfTrue="1">
      <formula>IF(AND(BY117=0,OR($AA$4-BT117&gt;BY117,$AA$4-BT117&lt;BY117)),1,0)</formula>
    </cfRule>
  </conditionalFormatting>
  <conditionalFormatting sqref="BN179 BN117 BN130:BN177 BN120:BN124">
    <cfRule type="expression" dxfId="1000" priority="825" stopIfTrue="1">
      <formula>IF(AND(BY117=0,BN117&gt;0),1,0)</formula>
    </cfRule>
  </conditionalFormatting>
  <conditionalFormatting sqref="BI179:BK179 BI150:BK150 BI166:BK166 BI138:BI144 BI146:BI149 BI151:BI162 BJ151:BK165 BJ167:BK177 BI123:BI124 BI117:BK117 BJ130:BK149 BJ120:BK124 BI120:BI121">
    <cfRule type="expression" dxfId="999" priority="824" stopIfTrue="1">
      <formula>IF(AND(BR117=0,OR($AA$4-BI117&gt;BR117,$AA$4-BI117&lt;BR117)),1,0)</formula>
    </cfRule>
  </conditionalFormatting>
  <conditionalFormatting sqref="AV179 AJ125:AJ129 AV83:AV94 AJ83:AJ94 AV96:AV177 AJ96:AJ116">
    <cfRule type="expression" dxfId="998" priority="823" stopIfTrue="1">
      <formula>IF(AND(AQ83=0,OR($AA$4-AJ83&gt;0,O$4-AJ83&lt;0)),1,0)</formula>
    </cfRule>
  </conditionalFormatting>
  <conditionalFormatting sqref="BR179 BR117 BR130:BR177 BR120:BR124">
    <cfRule type="expression" dxfId="997" priority="822" stopIfTrue="1">
      <formula>IF(AND(BO117=0,OR($AA$4-BR117&gt;BO117,$AA$4-BR117&lt;BO117)),1,0)</formula>
    </cfRule>
  </conditionalFormatting>
  <conditionalFormatting sqref="C179 C117 C130:C177 C120:C124">
    <cfRule type="expression" dxfId="996" priority="819" stopIfTrue="1">
      <formula>IF(CY117="Hưu",1,0)</formula>
    </cfRule>
    <cfRule type="expression" dxfId="995" priority="820" stopIfTrue="1">
      <formula>IF(CY117="Quá",1,0)</formula>
    </cfRule>
    <cfRule type="expression" dxfId="994" priority="821" stopIfTrue="1">
      <formula>IF(BD117="Lùi",1,0)</formula>
    </cfRule>
  </conditionalFormatting>
  <conditionalFormatting sqref="A179 A117 A130:A177 A120:A124">
    <cfRule type="expression" dxfId="993" priority="816" stopIfTrue="1">
      <formula>IF(CW117="Hưu",1,0)</formula>
    </cfRule>
    <cfRule type="expression" dxfId="992" priority="817" stopIfTrue="1">
      <formula>IF(CW117="Quá",1,0)</formula>
    </cfRule>
    <cfRule type="expression" dxfId="991" priority="818" stopIfTrue="1">
      <formula>IF(AM117="Lùi",1,0)</formula>
    </cfRule>
  </conditionalFormatting>
  <conditionalFormatting sqref="AP179 AP117 AP130:AP177 AP120:AP124">
    <cfRule type="cellIs" dxfId="990" priority="814" stopIfTrue="1" operator="between">
      <formula>"%"</formula>
      <formula>"%"</formula>
    </cfRule>
    <cfRule type="expression" dxfId="989" priority="815" stopIfTrue="1">
      <formula>IF(AO117=AQ117,1,0)</formula>
    </cfRule>
  </conditionalFormatting>
  <conditionalFormatting sqref="CV179 CV172:CV173 CV169:CV170 CV147:CV149 CV152:CV154 CV156:CV158 CV175:CV177 CV160:CV167 CV120 CV130:CV145 CV123">
    <cfRule type="cellIs" dxfId="988" priority="811" stopIfTrue="1" operator="between">
      <formula>"Hưu"</formula>
      <formula>"Hưu"</formula>
    </cfRule>
    <cfRule type="cellIs" dxfId="987" priority="812" stopIfTrue="1" operator="between">
      <formula>"---"</formula>
      <formula>"---"</formula>
    </cfRule>
    <cfRule type="cellIs" dxfId="986" priority="813" stopIfTrue="1" operator="between">
      <formula>"Quá"</formula>
      <formula>"Quá"</formula>
    </cfRule>
  </conditionalFormatting>
  <conditionalFormatting sqref="BG179 BG172:BG173 BG169:BG170 BG152:BG153 BG147:BG149 BG156:BG158 BG175 BG160:BG167 BG120 BG130:BG145 BG123">
    <cfRule type="cellIs" dxfId="985" priority="810" stopIfTrue="1" operator="between">
      <formula>4</formula>
      <formula>4</formula>
    </cfRule>
  </conditionalFormatting>
  <conditionalFormatting sqref="BF179 BF172:BF173 BF169:BF170 BF147:BF149 BF152:BF154 BF156:BF158 BF175:BF177 BF160:BF167 BF120 BF130:BF145 BF123">
    <cfRule type="expression" dxfId="984" priority="808" stopIfTrue="1">
      <formula>IF(BF120="Đến %",1,0)</formula>
    </cfRule>
    <cfRule type="expression" dxfId="983" priority="809" stopIfTrue="1">
      <formula>IF(BF120="Dừng %",1,0)</formula>
    </cfRule>
  </conditionalFormatting>
  <conditionalFormatting sqref="AA179 AA172:AA173 AA147:AA149 AA152:AA154 AA175:AA177 AA156:AA170 AA120 AA130:AA145 AA123">
    <cfRule type="cellIs" dxfId="982" priority="806" stopIfTrue="1" operator="between">
      <formula>"Đến $"</formula>
      <formula>"Đến $"</formula>
    </cfRule>
    <cfRule type="cellIs" dxfId="981" priority="807" stopIfTrue="1" operator="between">
      <formula>"Dừng $"</formula>
      <formula>"Dừng $"</formula>
    </cfRule>
  </conditionalFormatting>
  <conditionalFormatting sqref="EF179 EF172:EF173 EF169:EF170 EF147:EF149 EF152:EF154 EF156:EF158 EF175:EF177 EF160:EF167 EF120 EF130:EF145 EF123">
    <cfRule type="expression" dxfId="980" priority="805" stopIfTrue="1">
      <formula>IF(EF120="Sửa",1,0)</formula>
    </cfRule>
  </conditionalFormatting>
  <conditionalFormatting sqref="AJ117 AJ130:AJ177 AJ120:AJ124">
    <cfRule type="expression" dxfId="979" priority="804" stopIfTrue="1">
      <formula>IF(AND(AP117=0,OR($AA$4-AJ117&gt;0,O$4-AJ117&lt;0)),1,0)</formula>
    </cfRule>
  </conditionalFormatting>
  <conditionalFormatting sqref="O179 O117 O130:O177 O120:O124">
    <cfRule type="expression" dxfId="978" priority="803" stopIfTrue="1">
      <formula>IF(P117=0,1,0)</formula>
    </cfRule>
  </conditionalFormatting>
  <conditionalFormatting sqref="N179 N172:N173 N169:N170 N147:N149 N152:N154 N156:N158 N175:N177 N160:N167 N120 N130:N145 N123">
    <cfRule type="cellIs" dxfId="977" priority="802" stopIfTrue="1" operator="between">
      <formula>"Ko hạn"</formula>
      <formula>"Ko hạn"</formula>
    </cfRule>
  </conditionalFormatting>
  <conditionalFormatting sqref="Q179 Q117 Q130:Q177 Q120:Q124">
    <cfRule type="expression" dxfId="976" priority="801">
      <formula>IF(P117=0,1,0)</formula>
    </cfRule>
  </conditionalFormatting>
  <conditionalFormatting sqref="CV121">
    <cfRule type="cellIs" dxfId="975" priority="787" stopIfTrue="1" operator="between">
      <formula>"Hưu"</formula>
      <formula>"Hưu"</formula>
    </cfRule>
    <cfRule type="cellIs" dxfId="974" priority="788" stopIfTrue="1" operator="between">
      <formula>"---"</formula>
      <formula>"---"</formula>
    </cfRule>
    <cfRule type="cellIs" dxfId="973" priority="789" stopIfTrue="1" operator="between">
      <formula>"Quá"</formula>
      <formula>"Quá"</formula>
    </cfRule>
  </conditionalFormatting>
  <conditionalFormatting sqref="BG121">
    <cfRule type="cellIs" dxfId="972" priority="786" stopIfTrue="1" operator="between">
      <formula>4</formula>
      <formula>4</formula>
    </cfRule>
  </conditionalFormatting>
  <conditionalFormatting sqref="BF121">
    <cfRule type="expression" dxfId="971" priority="784" stopIfTrue="1">
      <formula>IF(BF121="Đến %",1,0)</formula>
    </cfRule>
    <cfRule type="expression" dxfId="970" priority="785" stopIfTrue="1">
      <formula>IF(BF121="Dừng %",1,0)</formula>
    </cfRule>
  </conditionalFormatting>
  <conditionalFormatting sqref="AA121">
    <cfRule type="cellIs" dxfId="969" priority="782" stopIfTrue="1" operator="between">
      <formula>"Đến $"</formula>
      <formula>"Đến $"</formula>
    </cfRule>
    <cfRule type="cellIs" dxfId="968" priority="783" stopIfTrue="1" operator="between">
      <formula>"Dừng $"</formula>
      <formula>"Dừng $"</formula>
    </cfRule>
  </conditionalFormatting>
  <conditionalFormatting sqref="BX121">
    <cfRule type="cellIs" dxfId="967" priority="781" stopIfTrue="1" operator="between">
      <formula>0</formula>
      <formula>13</formula>
    </cfRule>
  </conditionalFormatting>
  <conditionalFormatting sqref="EF121">
    <cfRule type="expression" dxfId="966" priority="780" stopIfTrue="1">
      <formula>IF(EF121="Sửa",1,0)</formula>
    </cfRule>
  </conditionalFormatting>
  <conditionalFormatting sqref="N121">
    <cfRule type="cellIs" dxfId="965" priority="779" stopIfTrue="1" operator="between">
      <formula>"Ko hạn"</formula>
      <formula>"Ko hạn"</formula>
    </cfRule>
  </conditionalFormatting>
  <conditionalFormatting sqref="CV122">
    <cfRule type="cellIs" dxfId="964" priority="776" stopIfTrue="1" operator="between">
      <formula>"Hưu"</formula>
      <formula>"Hưu"</formula>
    </cfRule>
    <cfRule type="cellIs" dxfId="963" priority="777" stopIfTrue="1" operator="between">
      <formula>"---"</formula>
      <formula>"---"</formula>
    </cfRule>
    <cfRule type="cellIs" dxfId="962" priority="778" stopIfTrue="1" operator="between">
      <formula>"Quá"</formula>
      <formula>"Quá"</formula>
    </cfRule>
  </conditionalFormatting>
  <conditionalFormatting sqref="BG122">
    <cfRule type="cellIs" dxfId="961" priority="775" stopIfTrue="1" operator="between">
      <formula>4</formula>
      <formula>4</formula>
    </cfRule>
  </conditionalFormatting>
  <conditionalFormatting sqref="BF122">
    <cfRule type="expression" dxfId="960" priority="773" stopIfTrue="1">
      <formula>IF(BF122="Đến %",1,0)</formula>
    </cfRule>
    <cfRule type="expression" dxfId="959" priority="774" stopIfTrue="1">
      <formula>IF(BF122="Dừng %",1,0)</formula>
    </cfRule>
  </conditionalFormatting>
  <conditionalFormatting sqref="AA122">
    <cfRule type="cellIs" dxfId="958" priority="771" stopIfTrue="1" operator="between">
      <formula>"Đến $"</formula>
      <formula>"Đến $"</formula>
    </cfRule>
    <cfRule type="cellIs" dxfId="957" priority="772" stopIfTrue="1" operator="between">
      <formula>"Dừng $"</formula>
      <formula>"Dừng $"</formula>
    </cfRule>
  </conditionalFormatting>
  <conditionalFormatting sqref="BX122">
    <cfRule type="cellIs" dxfId="956" priority="770" stopIfTrue="1" operator="between">
      <formula>0</formula>
      <formula>13</formula>
    </cfRule>
  </conditionalFormatting>
  <conditionalFormatting sqref="EF122">
    <cfRule type="expression" dxfId="955" priority="769" stopIfTrue="1">
      <formula>IF(EF122="Sửa",1,0)</formula>
    </cfRule>
  </conditionalFormatting>
  <conditionalFormatting sqref="N122">
    <cfRule type="cellIs" dxfId="954" priority="768" stopIfTrue="1" operator="between">
      <formula>"Ko hạn"</formula>
      <formula>"Ko hạn"</formula>
    </cfRule>
  </conditionalFormatting>
  <conditionalFormatting sqref="CV117">
    <cfRule type="cellIs" dxfId="953" priority="765" stopIfTrue="1" operator="between">
      <formula>"Hưu"</formula>
      <formula>"Hưu"</formula>
    </cfRule>
    <cfRule type="cellIs" dxfId="952" priority="766" stopIfTrue="1" operator="between">
      <formula>"---"</formula>
      <formula>"---"</formula>
    </cfRule>
    <cfRule type="cellIs" dxfId="951" priority="767" stopIfTrue="1" operator="between">
      <formula>"Quá"</formula>
      <formula>"Quá"</formula>
    </cfRule>
  </conditionalFormatting>
  <conditionalFormatting sqref="BG117">
    <cfRule type="cellIs" dxfId="950" priority="764" stopIfTrue="1" operator="between">
      <formula>4</formula>
      <formula>4</formula>
    </cfRule>
  </conditionalFormatting>
  <conditionalFormatting sqref="BF117">
    <cfRule type="expression" dxfId="949" priority="762" stopIfTrue="1">
      <formula>IF(BF117="Đến %",1,0)</formula>
    </cfRule>
    <cfRule type="expression" dxfId="948" priority="763" stopIfTrue="1">
      <formula>IF(BF117="Dừng %",1,0)</formula>
    </cfRule>
  </conditionalFormatting>
  <conditionalFormatting sqref="AA117">
    <cfRule type="cellIs" dxfId="947" priority="760" stopIfTrue="1" operator="between">
      <formula>"Đến $"</formula>
      <formula>"Đến $"</formula>
    </cfRule>
    <cfRule type="cellIs" dxfId="946" priority="761" stopIfTrue="1" operator="between">
      <formula>"Dừng $"</formula>
      <formula>"Dừng $"</formula>
    </cfRule>
  </conditionalFormatting>
  <conditionalFormatting sqref="BX117">
    <cfRule type="cellIs" dxfId="945" priority="759" stopIfTrue="1" operator="between">
      <formula>0</formula>
      <formula>13</formula>
    </cfRule>
  </conditionalFormatting>
  <conditionalFormatting sqref="EF117">
    <cfRule type="expression" dxfId="944" priority="758" stopIfTrue="1">
      <formula>IF(EF117="Sửa",1,0)</formula>
    </cfRule>
  </conditionalFormatting>
  <conditionalFormatting sqref="N117">
    <cfRule type="cellIs" dxfId="943" priority="757" stopIfTrue="1" operator="between">
      <formula>"Ko hạn"</formula>
      <formula>"Ko hạn"</formula>
    </cfRule>
  </conditionalFormatting>
  <conditionalFormatting sqref="CV124">
    <cfRule type="cellIs" dxfId="942" priority="743" stopIfTrue="1" operator="between">
      <formula>"Hưu"</formula>
      <formula>"Hưu"</formula>
    </cfRule>
    <cfRule type="cellIs" dxfId="941" priority="744" stopIfTrue="1" operator="between">
      <formula>"---"</formula>
      <formula>"---"</formula>
    </cfRule>
    <cfRule type="cellIs" dxfId="940" priority="745" stopIfTrue="1" operator="between">
      <formula>"Quá"</formula>
      <formula>"Quá"</formula>
    </cfRule>
  </conditionalFormatting>
  <conditionalFormatting sqref="BG124">
    <cfRule type="cellIs" dxfId="939" priority="742" stopIfTrue="1" operator="between">
      <formula>4</formula>
      <formula>4</formula>
    </cfRule>
  </conditionalFormatting>
  <conditionalFormatting sqref="BF124">
    <cfRule type="expression" dxfId="938" priority="740" stopIfTrue="1">
      <formula>IF(BF124="Đến %",1,0)</formula>
    </cfRule>
    <cfRule type="expression" dxfId="937" priority="741" stopIfTrue="1">
      <formula>IF(BF124="Dừng %",1,0)</formula>
    </cfRule>
  </conditionalFormatting>
  <conditionalFormatting sqref="AA124">
    <cfRule type="cellIs" dxfId="936" priority="738" stopIfTrue="1" operator="between">
      <formula>"Đến $"</formula>
      <formula>"Đến $"</formula>
    </cfRule>
    <cfRule type="cellIs" dxfId="935" priority="739" stopIfTrue="1" operator="between">
      <formula>"Dừng $"</formula>
      <formula>"Dừng $"</formula>
    </cfRule>
  </conditionalFormatting>
  <conditionalFormatting sqref="BX124">
    <cfRule type="cellIs" dxfId="934" priority="737" stopIfTrue="1" operator="between">
      <formula>0</formula>
      <formula>13</formula>
    </cfRule>
  </conditionalFormatting>
  <conditionalFormatting sqref="EF124">
    <cfRule type="expression" dxfId="933" priority="736" stopIfTrue="1">
      <formula>IF(EF124="Sửa",1,0)</formula>
    </cfRule>
  </conditionalFormatting>
  <conditionalFormatting sqref="N124">
    <cfRule type="cellIs" dxfId="932" priority="735" stopIfTrue="1" operator="between">
      <formula>"Ko hạn"</formula>
      <formula>"Ko hạn"</formula>
    </cfRule>
  </conditionalFormatting>
  <conditionalFormatting sqref="CV168">
    <cfRule type="cellIs" dxfId="931" priority="732" stopIfTrue="1" operator="between">
      <formula>"Hưu"</formula>
      <formula>"Hưu"</formula>
    </cfRule>
    <cfRule type="cellIs" dxfId="930" priority="733" stopIfTrue="1" operator="between">
      <formula>"---"</formula>
      <formula>"---"</formula>
    </cfRule>
    <cfRule type="cellIs" dxfId="929" priority="734" stopIfTrue="1" operator="between">
      <formula>"Quá"</formula>
      <formula>"Quá"</formula>
    </cfRule>
  </conditionalFormatting>
  <conditionalFormatting sqref="BG168">
    <cfRule type="cellIs" dxfId="928" priority="731" stopIfTrue="1" operator="between">
      <formula>4</formula>
      <formula>4</formula>
    </cfRule>
  </conditionalFormatting>
  <conditionalFormatting sqref="BF168">
    <cfRule type="expression" dxfId="927" priority="729" stopIfTrue="1">
      <formula>IF(BF168="Đến %",1,0)</formula>
    </cfRule>
    <cfRule type="expression" dxfId="926" priority="730" stopIfTrue="1">
      <formula>IF(BF168="Dừng %",1,0)</formula>
    </cfRule>
  </conditionalFormatting>
  <conditionalFormatting sqref="N168">
    <cfRule type="cellIs" dxfId="925" priority="728" stopIfTrue="1" operator="between">
      <formula>"Ko hạn"</formula>
      <formula>"Ko hạn"</formula>
    </cfRule>
  </conditionalFormatting>
  <conditionalFormatting sqref="EF168">
    <cfRule type="expression" dxfId="924" priority="727" stopIfTrue="1">
      <formula>IF(EF168="Sửa",1,0)</formula>
    </cfRule>
  </conditionalFormatting>
  <conditionalFormatting sqref="CV159">
    <cfRule type="cellIs" dxfId="923" priority="724" stopIfTrue="1" operator="between">
      <formula>"Hưu"</formula>
      <formula>"Hưu"</formula>
    </cfRule>
    <cfRule type="cellIs" dxfId="922" priority="725" stopIfTrue="1" operator="between">
      <formula>"---"</formula>
      <formula>"---"</formula>
    </cfRule>
    <cfRule type="cellIs" dxfId="921" priority="726" stopIfTrue="1" operator="between">
      <formula>"Quá"</formula>
      <formula>"Quá"</formula>
    </cfRule>
  </conditionalFormatting>
  <conditionalFormatting sqref="BG159">
    <cfRule type="cellIs" dxfId="920" priority="723" stopIfTrue="1" operator="between">
      <formula>4</formula>
      <formula>4</formula>
    </cfRule>
  </conditionalFormatting>
  <conditionalFormatting sqref="BF159">
    <cfRule type="expression" dxfId="919" priority="721" stopIfTrue="1">
      <formula>IF(BF159="Đến %",1,0)</formula>
    </cfRule>
    <cfRule type="expression" dxfId="918" priority="722" stopIfTrue="1">
      <formula>IF(BF159="Dừng %",1,0)</formula>
    </cfRule>
  </conditionalFormatting>
  <conditionalFormatting sqref="BX159">
    <cfRule type="cellIs" dxfId="917" priority="720" stopIfTrue="1" operator="between">
      <formula>0</formula>
      <formula>13</formula>
    </cfRule>
  </conditionalFormatting>
  <conditionalFormatting sqref="EF159">
    <cfRule type="expression" dxfId="916" priority="719" stopIfTrue="1">
      <formula>IF(EF159="Sửa",1,0)</formula>
    </cfRule>
  </conditionalFormatting>
  <conditionalFormatting sqref="N159">
    <cfRule type="cellIs" dxfId="915" priority="718" stopIfTrue="1" operator="between">
      <formula>"Ko hạn"</formula>
      <formula>"Ko hạn"</formula>
    </cfRule>
  </conditionalFormatting>
  <conditionalFormatting sqref="CV171">
    <cfRule type="cellIs" dxfId="914" priority="715" stopIfTrue="1" operator="between">
      <formula>"Hưu"</formula>
      <formula>"Hưu"</formula>
    </cfRule>
    <cfRule type="cellIs" dxfId="913" priority="716" stopIfTrue="1" operator="between">
      <formula>"---"</formula>
      <formula>"---"</formula>
    </cfRule>
    <cfRule type="cellIs" dxfId="912" priority="717" stopIfTrue="1" operator="between">
      <formula>"Quá"</formula>
      <formula>"Quá"</formula>
    </cfRule>
  </conditionalFormatting>
  <conditionalFormatting sqref="BG171">
    <cfRule type="cellIs" dxfId="911" priority="714" stopIfTrue="1" operator="between">
      <formula>4</formula>
      <formula>4</formula>
    </cfRule>
  </conditionalFormatting>
  <conditionalFormatting sqref="BF171">
    <cfRule type="expression" dxfId="910" priority="712" stopIfTrue="1">
      <formula>IF(BF171="Đến %",1,0)</formula>
    </cfRule>
    <cfRule type="expression" dxfId="909" priority="713" stopIfTrue="1">
      <formula>IF(BF171="Dừng %",1,0)</formula>
    </cfRule>
  </conditionalFormatting>
  <conditionalFormatting sqref="AA171">
    <cfRule type="cellIs" dxfId="908" priority="710" stopIfTrue="1" operator="between">
      <formula>"Đến $"</formula>
      <formula>"Đến $"</formula>
    </cfRule>
    <cfRule type="cellIs" dxfId="907" priority="711" stopIfTrue="1" operator="between">
      <formula>"Dừng $"</formula>
      <formula>"Dừng $"</formula>
    </cfRule>
  </conditionalFormatting>
  <conditionalFormatting sqref="BX171">
    <cfRule type="cellIs" dxfId="906" priority="709" stopIfTrue="1" operator="between">
      <formula>0</formula>
      <formula>13</formula>
    </cfRule>
  </conditionalFormatting>
  <conditionalFormatting sqref="EF171">
    <cfRule type="expression" dxfId="905" priority="708" stopIfTrue="1">
      <formula>IF(EF171="Sửa",1,0)</formula>
    </cfRule>
  </conditionalFormatting>
  <conditionalFormatting sqref="N171">
    <cfRule type="cellIs" dxfId="904" priority="707" stopIfTrue="1" operator="between">
      <formula>"Ko hạn"</formula>
      <formula>"Ko hạn"</formula>
    </cfRule>
  </conditionalFormatting>
  <conditionalFormatting sqref="CV174">
    <cfRule type="cellIs" dxfId="903" priority="704" stopIfTrue="1" operator="between">
      <formula>"Hưu"</formula>
      <formula>"Hưu"</formula>
    </cfRule>
    <cfRule type="cellIs" dxfId="902" priority="705" stopIfTrue="1" operator="between">
      <formula>"---"</formula>
      <formula>"---"</formula>
    </cfRule>
    <cfRule type="cellIs" dxfId="901" priority="706" stopIfTrue="1" operator="between">
      <formula>"Quá"</formula>
      <formula>"Quá"</formula>
    </cfRule>
  </conditionalFormatting>
  <conditionalFormatting sqref="BG174">
    <cfRule type="cellIs" dxfId="900" priority="703" stopIfTrue="1" operator="between">
      <formula>4</formula>
      <formula>4</formula>
    </cfRule>
  </conditionalFormatting>
  <conditionalFormatting sqref="BF174">
    <cfRule type="expression" dxfId="899" priority="701" stopIfTrue="1">
      <formula>IF(BF174="Đến %",1,0)</formula>
    </cfRule>
    <cfRule type="expression" dxfId="898" priority="702" stopIfTrue="1">
      <formula>IF(BF174="Dừng %",1,0)</formula>
    </cfRule>
  </conditionalFormatting>
  <conditionalFormatting sqref="AA174">
    <cfRule type="cellIs" dxfId="897" priority="699" stopIfTrue="1" operator="between">
      <formula>"Đến $"</formula>
      <formula>"Đến $"</formula>
    </cfRule>
    <cfRule type="cellIs" dxfId="896" priority="700" stopIfTrue="1" operator="between">
      <formula>"Dừng $"</formula>
      <formula>"Dừng $"</formula>
    </cfRule>
  </conditionalFormatting>
  <conditionalFormatting sqref="BX174">
    <cfRule type="cellIs" dxfId="895" priority="698" stopIfTrue="1" operator="between">
      <formula>0</formula>
      <formula>13</formula>
    </cfRule>
  </conditionalFormatting>
  <conditionalFormatting sqref="EF174">
    <cfRule type="expression" dxfId="894" priority="697" stopIfTrue="1">
      <formula>IF(EF174="Sửa",1,0)</formula>
    </cfRule>
  </conditionalFormatting>
  <conditionalFormatting sqref="N174">
    <cfRule type="cellIs" dxfId="893" priority="696" stopIfTrue="1" operator="between">
      <formula>"Ko hạn"</formula>
      <formula>"Ko hạn"</formula>
    </cfRule>
  </conditionalFormatting>
  <conditionalFormatting sqref="CV146">
    <cfRule type="cellIs" dxfId="892" priority="693" stopIfTrue="1" operator="between">
      <formula>"Hưu"</formula>
      <formula>"Hưu"</formula>
    </cfRule>
    <cfRule type="cellIs" dxfId="891" priority="694" stopIfTrue="1" operator="between">
      <formula>"---"</formula>
      <formula>"---"</formula>
    </cfRule>
    <cfRule type="cellIs" dxfId="890" priority="695" stopIfTrue="1" operator="between">
      <formula>"Quá"</formula>
      <formula>"Quá"</formula>
    </cfRule>
  </conditionalFormatting>
  <conditionalFormatting sqref="BG146">
    <cfRule type="cellIs" dxfId="889" priority="692" stopIfTrue="1" operator="between">
      <formula>4</formula>
      <formula>4</formula>
    </cfRule>
  </conditionalFormatting>
  <conditionalFormatting sqref="BF146">
    <cfRule type="expression" dxfId="888" priority="690" stopIfTrue="1">
      <formula>IF(BF146="Đến %",1,0)</formula>
    </cfRule>
    <cfRule type="expression" dxfId="887" priority="691" stopIfTrue="1">
      <formula>IF(BF146="Dừng %",1,0)</formula>
    </cfRule>
  </conditionalFormatting>
  <conditionalFormatting sqref="AA146">
    <cfRule type="cellIs" dxfId="886" priority="688" stopIfTrue="1" operator="between">
      <formula>"Đến $"</formula>
      <formula>"Đến $"</formula>
    </cfRule>
    <cfRule type="cellIs" dxfId="885" priority="689" stopIfTrue="1" operator="between">
      <formula>"Dừng $"</formula>
      <formula>"Dừng $"</formula>
    </cfRule>
  </conditionalFormatting>
  <conditionalFormatting sqref="BX146">
    <cfRule type="cellIs" dxfId="884" priority="687" stopIfTrue="1" operator="between">
      <formula>0</formula>
      <formula>13</formula>
    </cfRule>
  </conditionalFormatting>
  <conditionalFormatting sqref="EF146">
    <cfRule type="expression" dxfId="883" priority="686" stopIfTrue="1">
      <formula>IF(EF146="Sửa",1,0)</formula>
    </cfRule>
  </conditionalFormatting>
  <conditionalFormatting sqref="N146">
    <cfRule type="cellIs" dxfId="882" priority="685" stopIfTrue="1" operator="between">
      <formula>"Ko hạn"</formula>
      <formula>"Ko hạn"</formula>
    </cfRule>
  </conditionalFormatting>
  <conditionalFormatting sqref="CV151">
    <cfRule type="cellIs" dxfId="881" priority="682" stopIfTrue="1" operator="between">
      <formula>"Hưu"</formula>
      <formula>"Hưu"</formula>
    </cfRule>
    <cfRule type="cellIs" dxfId="880" priority="683" stopIfTrue="1" operator="between">
      <formula>"---"</formula>
      <formula>"---"</formula>
    </cfRule>
    <cfRule type="cellIs" dxfId="879" priority="684" stopIfTrue="1" operator="between">
      <formula>"Quá"</formula>
      <formula>"Quá"</formula>
    </cfRule>
  </conditionalFormatting>
  <conditionalFormatting sqref="BG151">
    <cfRule type="cellIs" dxfId="878" priority="681" stopIfTrue="1" operator="between">
      <formula>4</formula>
      <formula>4</formula>
    </cfRule>
  </conditionalFormatting>
  <conditionalFormatting sqref="BF151">
    <cfRule type="expression" dxfId="877" priority="679" stopIfTrue="1">
      <formula>IF(BF151="Đến %",1,0)</formula>
    </cfRule>
    <cfRule type="expression" dxfId="876" priority="680" stopIfTrue="1">
      <formula>IF(BF151="Dừng %",1,0)</formula>
    </cfRule>
  </conditionalFormatting>
  <conditionalFormatting sqref="AA151">
    <cfRule type="cellIs" dxfId="875" priority="677" stopIfTrue="1" operator="between">
      <formula>"Đến $"</formula>
      <formula>"Đến $"</formula>
    </cfRule>
    <cfRule type="cellIs" dxfId="874" priority="678" stopIfTrue="1" operator="between">
      <formula>"Dừng $"</formula>
      <formula>"Dừng $"</formula>
    </cfRule>
  </conditionalFormatting>
  <conditionalFormatting sqref="BX151">
    <cfRule type="cellIs" dxfId="873" priority="676" stopIfTrue="1" operator="between">
      <formula>0</formula>
      <formula>13</formula>
    </cfRule>
  </conditionalFormatting>
  <conditionalFormatting sqref="EF151">
    <cfRule type="expression" dxfId="872" priority="675" stopIfTrue="1">
      <formula>IF(EF151="Sửa",1,0)</formula>
    </cfRule>
  </conditionalFormatting>
  <conditionalFormatting sqref="N151">
    <cfRule type="cellIs" dxfId="871" priority="674" stopIfTrue="1" operator="between">
      <formula>"Ko hạn"</formula>
      <formula>"Ko hạn"</formula>
    </cfRule>
  </conditionalFormatting>
  <conditionalFormatting sqref="CV155">
    <cfRule type="cellIs" dxfId="870" priority="671" stopIfTrue="1" operator="between">
      <formula>"Hưu"</formula>
      <formula>"Hưu"</formula>
    </cfRule>
    <cfRule type="cellIs" dxfId="869" priority="672" stopIfTrue="1" operator="between">
      <formula>"---"</formula>
      <formula>"---"</formula>
    </cfRule>
    <cfRule type="cellIs" dxfId="868" priority="673" stopIfTrue="1" operator="between">
      <formula>"Quá"</formula>
      <formula>"Quá"</formula>
    </cfRule>
  </conditionalFormatting>
  <conditionalFormatting sqref="BG155">
    <cfRule type="cellIs" dxfId="867" priority="670" stopIfTrue="1" operator="between">
      <formula>4</formula>
      <formula>4</formula>
    </cfRule>
  </conditionalFormatting>
  <conditionalFormatting sqref="BF155">
    <cfRule type="expression" dxfId="866" priority="668" stopIfTrue="1">
      <formula>IF(BF155="Đến %",1,0)</formula>
    </cfRule>
    <cfRule type="expression" dxfId="865" priority="669" stopIfTrue="1">
      <formula>IF(BF155="Dừng %",1,0)</formula>
    </cfRule>
  </conditionalFormatting>
  <conditionalFormatting sqref="AA155">
    <cfRule type="cellIs" dxfId="864" priority="666" stopIfTrue="1" operator="between">
      <formula>"Đến $"</formula>
      <formula>"Đến $"</formula>
    </cfRule>
    <cfRule type="cellIs" dxfId="863" priority="667" stopIfTrue="1" operator="between">
      <formula>"Dừng $"</formula>
      <formula>"Dừng $"</formula>
    </cfRule>
  </conditionalFormatting>
  <conditionalFormatting sqref="BX155">
    <cfRule type="cellIs" dxfId="862" priority="665" stopIfTrue="1" operator="between">
      <formula>0</formula>
      <formula>13</formula>
    </cfRule>
  </conditionalFormatting>
  <conditionalFormatting sqref="EF155">
    <cfRule type="expression" dxfId="861" priority="664" stopIfTrue="1">
      <formula>IF(EF155="Sửa",1,0)</formula>
    </cfRule>
  </conditionalFormatting>
  <conditionalFormatting sqref="N155">
    <cfRule type="cellIs" dxfId="860" priority="663" stopIfTrue="1" operator="between">
      <formula>"Ko hạn"</formula>
      <formula>"Ko hạn"</formula>
    </cfRule>
  </conditionalFormatting>
  <conditionalFormatting sqref="CV150">
    <cfRule type="cellIs" dxfId="859" priority="660" stopIfTrue="1" operator="between">
      <formula>"Hưu"</formula>
      <formula>"Hưu"</formula>
    </cfRule>
    <cfRule type="cellIs" dxfId="858" priority="661" stopIfTrue="1" operator="between">
      <formula>"---"</formula>
      <formula>"---"</formula>
    </cfRule>
    <cfRule type="cellIs" dxfId="857" priority="662" stopIfTrue="1" operator="between">
      <formula>"Quá"</formula>
      <formula>"Quá"</formula>
    </cfRule>
  </conditionalFormatting>
  <conditionalFormatting sqref="BG150">
    <cfRule type="cellIs" dxfId="856" priority="659" stopIfTrue="1" operator="between">
      <formula>4</formula>
      <formula>4</formula>
    </cfRule>
  </conditionalFormatting>
  <conditionalFormatting sqref="BF150">
    <cfRule type="expression" dxfId="855" priority="657" stopIfTrue="1">
      <formula>IF(BF150="Đến %",1,0)</formula>
    </cfRule>
    <cfRule type="expression" dxfId="854" priority="658" stopIfTrue="1">
      <formula>IF(BF150="Dừng %",1,0)</formula>
    </cfRule>
  </conditionalFormatting>
  <conditionalFormatting sqref="AA150">
    <cfRule type="cellIs" dxfId="853" priority="655" stopIfTrue="1" operator="between">
      <formula>"Đến $"</formula>
      <formula>"Đến $"</formula>
    </cfRule>
    <cfRule type="cellIs" dxfId="852" priority="656" stopIfTrue="1" operator="between">
      <formula>"Dừng $"</formula>
      <formula>"Dừng $"</formula>
    </cfRule>
  </conditionalFormatting>
  <conditionalFormatting sqref="BX150">
    <cfRule type="cellIs" dxfId="851" priority="654" stopIfTrue="1" operator="between">
      <formula>0</formula>
      <formula>13</formula>
    </cfRule>
  </conditionalFormatting>
  <conditionalFormatting sqref="EF150">
    <cfRule type="expression" dxfId="850" priority="653" stopIfTrue="1">
      <formula>IF(EF150="Sửa",1,0)</formula>
    </cfRule>
  </conditionalFormatting>
  <conditionalFormatting sqref="N150">
    <cfRule type="cellIs" dxfId="849" priority="652" stopIfTrue="1" operator="between">
      <formula>"Ko hạn"</formula>
      <formula>"Ko hạn"</formula>
    </cfRule>
  </conditionalFormatting>
  <conditionalFormatting sqref="AB180">
    <cfRule type="cellIs" dxfId="848" priority="651" stopIfTrue="1" operator="between">
      <formula>0</formula>
      <formula>0</formula>
    </cfRule>
  </conditionalFormatting>
  <conditionalFormatting sqref="CV180">
    <cfRule type="cellIs" dxfId="847" priority="648" stopIfTrue="1" operator="between">
      <formula>"Hưu"</formula>
      <formula>"Hưu"</formula>
    </cfRule>
    <cfRule type="cellIs" dxfId="846" priority="649" stopIfTrue="1" operator="between">
      <formula>"---"</formula>
      <formula>"---"</formula>
    </cfRule>
    <cfRule type="cellIs" dxfId="845" priority="650" stopIfTrue="1" operator="between">
      <formula>"Quá"</formula>
      <formula>"Quá"</formula>
    </cfRule>
  </conditionalFormatting>
  <conditionalFormatting sqref="BG180">
    <cfRule type="cellIs" dxfId="844" priority="647" stopIfTrue="1" operator="between">
      <formula>4</formula>
      <formula>4</formula>
    </cfRule>
  </conditionalFormatting>
  <conditionalFormatting sqref="AA180">
    <cfRule type="cellIs" dxfId="843" priority="645" stopIfTrue="1" operator="between">
      <formula>"Đến $"</formula>
      <formula>"Đến $"</formula>
    </cfRule>
    <cfRule type="cellIs" dxfId="842" priority="646" stopIfTrue="1" operator="between">
      <formula>"Dừng $"</formula>
      <formula>"Dừng $"</formula>
    </cfRule>
  </conditionalFormatting>
  <conditionalFormatting sqref="BX180">
    <cfRule type="cellIs" dxfId="841" priority="644" stopIfTrue="1" operator="between">
      <formula>0</formula>
      <formula>13</formula>
    </cfRule>
  </conditionalFormatting>
  <conditionalFormatting sqref="AM180">
    <cfRule type="expression" dxfId="840" priority="643" stopIfTrue="1">
      <formula>IF(AND(BC180=0,AM180&gt;0),1,0)</formula>
    </cfRule>
  </conditionalFormatting>
  <conditionalFormatting sqref="E125:E126 V125 E128 L125:S129">
    <cfRule type="expression" dxfId="839" priority="641" stopIfTrue="1">
      <formula>IF(CW125="Hưu",1,0)</formula>
    </cfRule>
    <cfRule type="expression" dxfId="838" priority="642" stopIfTrue="1">
      <formula>IF(CW125="Quá",1,0)</formula>
    </cfRule>
  </conditionalFormatting>
  <conditionalFormatting sqref="DO127:DO129">
    <cfRule type="expression" dxfId="837" priority="638" stopIfTrue="1">
      <formula>IF(FI127="Hưu",1,0)</formula>
    </cfRule>
    <cfRule type="expression" dxfId="836" priority="639" stopIfTrue="1">
      <formula>IF(FI127="Quá",1,0)</formula>
    </cfRule>
    <cfRule type="expression" dxfId="835" priority="640" stopIfTrue="1">
      <formula>IF(EQ127="Lùi",1,0)</formula>
    </cfRule>
  </conditionalFormatting>
  <conditionalFormatting sqref="DV125:DV126 DV128">
    <cfRule type="expression" dxfId="834" priority="636" stopIfTrue="1">
      <formula>IF(FN125="Hưu",1,0)</formula>
    </cfRule>
    <cfRule type="expression" dxfId="833" priority="637" stopIfTrue="1">
      <formula>IF(FN125="Quá",1,0)</formula>
    </cfRule>
  </conditionalFormatting>
  <conditionalFormatting sqref="AB125:AB127">
    <cfRule type="cellIs" dxfId="832" priority="633" stopIfTrue="1" operator="between">
      <formula>0</formula>
      <formula>0</formula>
    </cfRule>
    <cfRule type="expression" dxfId="831" priority="634" stopIfTrue="1">
      <formula>IF(AND(AD125&gt;AB125,AB125&gt;0),1,0)</formula>
    </cfRule>
    <cfRule type="expression" dxfId="830" priority="635" stopIfTrue="1">
      <formula>IF(AD125&lt;AB125,1,0)</formula>
    </cfRule>
  </conditionalFormatting>
  <conditionalFormatting sqref="CV125:CV129">
    <cfRule type="cellIs" dxfId="829" priority="630" stopIfTrue="1" operator="between">
      <formula>"Hưu"</formula>
      <formula>"Hưu"</formula>
    </cfRule>
    <cfRule type="cellIs" dxfId="828" priority="631" stopIfTrue="1" operator="between">
      <formula>"---"</formula>
      <formula>"---"</formula>
    </cfRule>
    <cfRule type="cellIs" dxfId="827" priority="632" stopIfTrue="1" operator="between">
      <formula>"Quá"</formula>
      <formula>"Quá"</formula>
    </cfRule>
  </conditionalFormatting>
  <conditionalFormatting sqref="BG129 BG125:BG127">
    <cfRule type="cellIs" dxfId="826" priority="629" stopIfTrue="1" operator="between">
      <formula>4</formula>
      <formula>4</formula>
    </cfRule>
  </conditionalFormatting>
  <conditionalFormatting sqref="BF125:BF129">
    <cfRule type="expression" dxfId="825" priority="627" stopIfTrue="1">
      <formula>IF(BF125="Đến %",1,0)</formula>
    </cfRule>
    <cfRule type="expression" dxfId="824" priority="628" stopIfTrue="1">
      <formula>IF(BF125="Dừng %",1,0)</formula>
    </cfRule>
  </conditionalFormatting>
  <conditionalFormatting sqref="AA125:AA129">
    <cfRule type="cellIs" dxfId="823" priority="625" stopIfTrue="1" operator="between">
      <formula>"Đến $"</formula>
      <formula>"Đến $"</formula>
    </cfRule>
    <cfRule type="cellIs" dxfId="822" priority="626" stopIfTrue="1" operator="between">
      <formula>"Dừng $"</formula>
      <formula>"Dừng $"</formula>
    </cfRule>
  </conditionalFormatting>
  <conditionalFormatting sqref="BX125:BX129">
    <cfRule type="cellIs" dxfId="821" priority="624" stopIfTrue="1" operator="between">
      <formula>0</formula>
      <formula>13</formula>
    </cfRule>
  </conditionalFormatting>
  <conditionalFormatting sqref="AM125:AM129">
    <cfRule type="expression" dxfId="820" priority="623" stopIfTrue="1">
      <formula>IF(AND(BC125=0,AM125&gt;0),1,0)</formula>
    </cfRule>
  </conditionalFormatting>
  <conditionalFormatting sqref="EF125:EF129">
    <cfRule type="expression" dxfId="819" priority="622" stopIfTrue="1">
      <formula>IF(EF125="Sửa",1,0)</formula>
    </cfRule>
  </conditionalFormatting>
  <conditionalFormatting sqref="BT125:BT129">
    <cfRule type="expression" dxfId="818" priority="621" stopIfTrue="1">
      <formula>IF(AND(BY125=0,OR($AA$4-BT125&gt;BY125,$AA$4-BT125&lt;BY125)),1,0)</formula>
    </cfRule>
  </conditionalFormatting>
  <conditionalFormatting sqref="BN125:BN129">
    <cfRule type="expression" dxfId="817" priority="620" stopIfTrue="1">
      <formula>IF(AND(BY125=0,BN125&gt;0),1,0)</formula>
    </cfRule>
  </conditionalFormatting>
  <conditionalFormatting sqref="BI125 BJ125:BK129">
    <cfRule type="expression" dxfId="816" priority="619" stopIfTrue="1">
      <formula>IF(AND(BR125=0,OR($AA$4-BI125&gt;BR125,$AA$4-BI125&lt;BR125)),1,0)</formula>
    </cfRule>
  </conditionalFormatting>
  <conditionalFormatting sqref="BR125:BR129">
    <cfRule type="expression" dxfId="815" priority="618" stopIfTrue="1">
      <formula>IF(AND(BO125=0,OR($AA$4-BR125&gt;BO125,$AA$4-BR125&lt;BO125)),1,0)</formula>
    </cfRule>
  </conditionalFormatting>
  <conditionalFormatting sqref="C125:C129">
    <cfRule type="expression" dxfId="814" priority="615" stopIfTrue="1">
      <formula>IF(CY125="Hưu",1,0)</formula>
    </cfRule>
    <cfRule type="expression" dxfId="813" priority="616" stopIfTrue="1">
      <formula>IF(CY125="Quá",1,0)</formula>
    </cfRule>
    <cfRule type="expression" dxfId="812" priority="617" stopIfTrue="1">
      <formula>IF(BD125="Lùi",1,0)</formula>
    </cfRule>
  </conditionalFormatting>
  <conditionalFormatting sqref="A125:A129">
    <cfRule type="expression" dxfId="811" priority="612" stopIfTrue="1">
      <formula>IF(CW125="Hưu",1,0)</formula>
    </cfRule>
    <cfRule type="expression" dxfId="810" priority="613" stopIfTrue="1">
      <formula>IF(CW125="Quá",1,0)</formula>
    </cfRule>
    <cfRule type="expression" dxfId="809" priority="614" stopIfTrue="1">
      <formula>IF(AM125="Lùi",1,0)</formula>
    </cfRule>
  </conditionalFormatting>
  <conditionalFormatting sqref="AG125:AG126 AG128">
    <cfRule type="cellIs" dxfId="808" priority="610" stopIfTrue="1" operator="between">
      <formula>"%"</formula>
      <formula>"%"</formula>
    </cfRule>
    <cfRule type="expression" dxfId="807" priority="611" stopIfTrue="1">
      <formula>IF(AF125=AQ125,1,0)</formula>
    </cfRule>
  </conditionalFormatting>
  <conditionalFormatting sqref="E83:E84 V83 L83:S84">
    <cfRule type="expression" dxfId="806" priority="606" stopIfTrue="1">
      <formula>IF(CW83="Hưu",1,0)</formula>
    </cfRule>
    <cfRule type="expression" dxfId="805" priority="607" stopIfTrue="1">
      <formula>IF(CW83="Quá",1,0)</formula>
    </cfRule>
  </conditionalFormatting>
  <conditionalFormatting sqref="DV83:DV84">
    <cfRule type="expression" dxfId="804" priority="601" stopIfTrue="1">
      <formula>IF(FN83="Hưu",1,0)</formula>
    </cfRule>
    <cfRule type="expression" dxfId="803" priority="602" stopIfTrue="1">
      <formula>IF(FN83="Quá",1,0)</formula>
    </cfRule>
  </conditionalFormatting>
  <conditionalFormatting sqref="AB83:AB84">
    <cfRule type="cellIs" dxfId="802" priority="598" stopIfTrue="1" operator="between">
      <formula>0</formula>
      <formula>0</formula>
    </cfRule>
    <cfRule type="expression" dxfId="801" priority="599" stopIfTrue="1">
      <formula>IF(AND(AD83&gt;AB83,AB83&gt;0),1,0)</formula>
    </cfRule>
    <cfRule type="expression" dxfId="800" priority="600" stopIfTrue="1">
      <formula>IF(AD83&lt;AB83,1,0)</formula>
    </cfRule>
  </conditionalFormatting>
  <conditionalFormatting sqref="CV83:CV84">
    <cfRule type="cellIs" dxfId="799" priority="595" stopIfTrue="1" operator="between">
      <formula>"Hưu"</formula>
      <formula>"Hưu"</formula>
    </cfRule>
    <cfRule type="cellIs" dxfId="798" priority="596" stopIfTrue="1" operator="between">
      <formula>"---"</formula>
      <formula>"---"</formula>
    </cfRule>
    <cfRule type="cellIs" dxfId="797" priority="597" stopIfTrue="1" operator="between">
      <formula>"Quá"</formula>
      <formula>"Quá"</formula>
    </cfRule>
  </conditionalFormatting>
  <conditionalFormatting sqref="BG83:BG84">
    <cfRule type="cellIs" dxfId="796" priority="594" stopIfTrue="1" operator="between">
      <formula>4</formula>
      <formula>4</formula>
    </cfRule>
  </conditionalFormatting>
  <conditionalFormatting sqref="BF83:BF84">
    <cfRule type="expression" dxfId="795" priority="592" stopIfTrue="1">
      <formula>IF(BF83="Đến %",1,0)</formula>
    </cfRule>
    <cfRule type="expression" dxfId="794" priority="593" stopIfTrue="1">
      <formula>IF(BF83="Dừng %",1,0)</formula>
    </cfRule>
  </conditionalFormatting>
  <conditionalFormatting sqref="AA83:AA84">
    <cfRule type="cellIs" dxfId="793" priority="590" stopIfTrue="1" operator="between">
      <formula>"Đến $"</formula>
      <formula>"Đến $"</formula>
    </cfRule>
    <cfRule type="cellIs" dxfId="792" priority="591" stopIfTrue="1" operator="between">
      <formula>"Dừng $"</formula>
      <formula>"Dừng $"</formula>
    </cfRule>
  </conditionalFormatting>
  <conditionalFormatting sqref="BX83:BX84">
    <cfRule type="cellIs" dxfId="791" priority="589" stopIfTrue="1" operator="between">
      <formula>0</formula>
      <formula>13</formula>
    </cfRule>
  </conditionalFormatting>
  <conditionalFormatting sqref="AM83:AM84">
    <cfRule type="expression" dxfId="790" priority="588" stopIfTrue="1">
      <formula>IF(AND(BC83=0,AM83&gt;0),1,0)</formula>
    </cfRule>
  </conditionalFormatting>
  <conditionalFormatting sqref="EF83:EF84">
    <cfRule type="expression" dxfId="789" priority="587" stopIfTrue="1">
      <formula>IF(EF83="Sửa",1,0)</formula>
    </cfRule>
  </conditionalFormatting>
  <conditionalFormatting sqref="BT83:BT84">
    <cfRule type="expression" dxfId="788" priority="586" stopIfTrue="1">
      <formula>IF(AND(BY83=0,OR($AA$4-BT83&gt;BY83,$AA$4-BT83&lt;BY83)),1,0)</formula>
    </cfRule>
  </conditionalFormatting>
  <conditionalFormatting sqref="BN83:BN84">
    <cfRule type="expression" dxfId="787" priority="585" stopIfTrue="1">
      <formula>IF(AND(BY83=0,BN83&gt;0),1,0)</formula>
    </cfRule>
  </conditionalFormatting>
  <conditionalFormatting sqref="BI83 BJ83:BK84">
    <cfRule type="expression" dxfId="786" priority="584" stopIfTrue="1">
      <formula>IF(AND(BR83=0,OR($AA$4-BI83&gt;BR83,$AA$4-BI83&lt;BR83)),1,0)</formula>
    </cfRule>
  </conditionalFormatting>
  <conditionalFormatting sqref="BR83:BR84">
    <cfRule type="expression" dxfId="785" priority="574" stopIfTrue="1">
      <formula>IF(AND(BO83=0,OR($AA$4-BR83&gt;BO83,$AA$4-BR83&lt;BO83)),1,0)</formula>
    </cfRule>
  </conditionalFormatting>
  <conditionalFormatting sqref="C83:C84">
    <cfRule type="expression" dxfId="784" priority="571" stopIfTrue="1">
      <formula>IF(CY83="Hưu",1,0)</formula>
    </cfRule>
    <cfRule type="expression" dxfId="783" priority="572" stopIfTrue="1">
      <formula>IF(CY83="Quá",1,0)</formula>
    </cfRule>
    <cfRule type="expression" dxfId="782" priority="573" stopIfTrue="1">
      <formula>IF(BD83="Lùi",1,0)</formula>
    </cfRule>
  </conditionalFormatting>
  <conditionalFormatting sqref="A83:A84">
    <cfRule type="expression" dxfId="781" priority="568" stopIfTrue="1">
      <formula>IF(CW83="Hưu",1,0)</formula>
    </cfRule>
    <cfRule type="expression" dxfId="780" priority="569" stopIfTrue="1">
      <formula>IF(CW83="Quá",1,0)</formula>
    </cfRule>
    <cfRule type="expression" dxfId="779" priority="570" stopIfTrue="1">
      <formula>IF(AM83="Lùi",1,0)</formula>
    </cfRule>
  </conditionalFormatting>
  <conditionalFormatting sqref="AG83:AG84">
    <cfRule type="cellIs" dxfId="778" priority="557" stopIfTrue="1" operator="between">
      <formula>"%"</formula>
      <formula>"%"</formula>
    </cfRule>
    <cfRule type="expression" dxfId="777" priority="558" stopIfTrue="1">
      <formula>IF(AF83=AQ83,1,0)</formula>
    </cfRule>
  </conditionalFormatting>
  <conditionalFormatting sqref="BD41">
    <cfRule type="cellIs" dxfId="776" priority="555" stopIfTrue="1" operator="between">
      <formula>"Đến"</formula>
      <formula>"Đến"</formula>
    </cfRule>
    <cfRule type="cellIs" dxfId="775" priority="556" stopIfTrue="1" operator="between">
      <formula>"Quá"</formula>
      <formula>"Quá"</formula>
    </cfRule>
  </conditionalFormatting>
  <conditionalFormatting sqref="BL41">
    <cfRule type="cellIs" dxfId="774" priority="552" stopIfTrue="1" operator="between">
      <formula>"Hưu"</formula>
      <formula>"Hưu"</formula>
    </cfRule>
    <cfRule type="cellIs" dxfId="773" priority="553" stopIfTrue="1" operator="between">
      <formula>"---"</formula>
      <formula>"---"</formula>
    </cfRule>
    <cfRule type="cellIs" dxfId="772" priority="554" stopIfTrue="1" operator="between">
      <formula>"Quá"</formula>
      <formula>"Quá"</formula>
    </cfRule>
  </conditionalFormatting>
  <conditionalFormatting sqref="BT41">
    <cfRule type="expression" dxfId="771" priority="549" stopIfTrue="1">
      <formula>IF(AND(#REF!&gt;0,#REF!&lt;5),1,0)</formula>
    </cfRule>
    <cfRule type="expression" dxfId="770" priority="550" stopIfTrue="1">
      <formula>IF(#REF!=5,1,0)</formula>
    </cfRule>
    <cfRule type="expression" dxfId="769" priority="551" stopIfTrue="1">
      <formula>IF(#REF!&gt;5,1,0)</formula>
    </cfRule>
  </conditionalFormatting>
  <conditionalFormatting sqref="BD41">
    <cfRule type="expression" dxfId="768" priority="548" stopIfTrue="1">
      <formula>IF(OR(#REF!="Lương Sớm Hưu",#REF!="Nâng Ngạch Hưu"),1,0)</formula>
    </cfRule>
  </conditionalFormatting>
  <conditionalFormatting sqref="BK41">
    <cfRule type="expression" dxfId="767" priority="545" stopIfTrue="1">
      <formula>IF(#REF!="Nâg Ngạch sau TB",1,0)</formula>
    </cfRule>
    <cfRule type="expression" dxfId="766" priority="546" stopIfTrue="1">
      <formula>IF(#REF!="Nâg Lươg Sớm sau TB",1,0)</formula>
    </cfRule>
    <cfRule type="expression" dxfId="765" priority="547" stopIfTrue="1">
      <formula>IF(#REF!="Nâg PC TNVK cùng QĐ",1,0)</formula>
    </cfRule>
  </conditionalFormatting>
  <conditionalFormatting sqref="AP118">
    <cfRule type="cellIs" dxfId="764" priority="543" stopIfTrue="1" operator="between">
      <formula>"%"</formula>
      <formula>"%"</formula>
    </cfRule>
    <cfRule type="expression" dxfId="763" priority="544" stopIfTrue="1">
      <formula>IF(AO118=AQ118,1,0)</formula>
    </cfRule>
  </conditionalFormatting>
  <conditionalFormatting sqref="O118">
    <cfRule type="expression" dxfId="762" priority="542" stopIfTrue="1">
      <formula>IF(P118=0,1,0)</formula>
    </cfRule>
  </conditionalFormatting>
  <conditionalFormatting sqref="E118">
    <cfRule type="expression" dxfId="761" priority="540" stopIfTrue="1">
      <formula>IF(CW118="Hưu",1,0)</formula>
    </cfRule>
    <cfRule type="expression" dxfId="760" priority="541" stopIfTrue="1">
      <formula>IF(CW118="Quá",1,0)</formula>
    </cfRule>
  </conditionalFormatting>
  <conditionalFormatting sqref="DO118">
    <cfRule type="expression" dxfId="759" priority="537" stopIfTrue="1">
      <formula>IF(FI118="Hưu",1,0)</formula>
    </cfRule>
    <cfRule type="expression" dxfId="758" priority="538" stopIfTrue="1">
      <formula>IF(FI118="Quá",1,0)</formula>
    </cfRule>
    <cfRule type="expression" dxfId="757" priority="539" stopIfTrue="1">
      <formula>IF(EQ118="Lùi",1,0)</formula>
    </cfRule>
  </conditionalFormatting>
  <conditionalFormatting sqref="DV118">
    <cfRule type="expression" dxfId="756" priority="535" stopIfTrue="1">
      <formula>IF(FN118="Hưu",1,0)</formula>
    </cfRule>
    <cfRule type="expression" dxfId="755" priority="536" stopIfTrue="1">
      <formula>IF(FN118="Quá",1,0)</formula>
    </cfRule>
  </conditionalFormatting>
  <conditionalFormatting sqref="AB118">
    <cfRule type="cellIs" dxfId="754" priority="532" stopIfTrue="1" operator="between">
      <formula>0</formula>
      <formula>0</formula>
    </cfRule>
    <cfRule type="expression" dxfId="753" priority="533" stopIfTrue="1">
      <formula>IF(AND(AD118&gt;AB118,AB118&gt;0),1,0)</formula>
    </cfRule>
    <cfRule type="expression" dxfId="752" priority="534" stopIfTrue="1">
      <formula>IF(AD118&lt;AB118,1,0)</formula>
    </cfRule>
  </conditionalFormatting>
  <conditionalFormatting sqref="CV118">
    <cfRule type="cellIs" dxfId="751" priority="529" stopIfTrue="1" operator="between">
      <formula>"Hưu"</formula>
      <formula>"Hưu"</formula>
    </cfRule>
    <cfRule type="cellIs" dxfId="750" priority="530" stopIfTrue="1" operator="between">
      <formula>"---"</formula>
      <formula>"---"</formula>
    </cfRule>
    <cfRule type="cellIs" dxfId="749" priority="531" stopIfTrue="1" operator="between">
      <formula>"Quá"</formula>
      <formula>"Quá"</formula>
    </cfRule>
  </conditionalFormatting>
  <conditionalFormatting sqref="BG118">
    <cfRule type="cellIs" dxfId="748" priority="528" stopIfTrue="1" operator="between">
      <formula>4</formula>
      <formula>4</formula>
    </cfRule>
  </conditionalFormatting>
  <conditionalFormatting sqref="BF118">
    <cfRule type="expression" dxfId="747" priority="526" stopIfTrue="1">
      <formula>IF(BF118="Đến %",1,0)</formula>
    </cfRule>
    <cfRule type="expression" dxfId="746" priority="527" stopIfTrue="1">
      <formula>IF(BF118="Dừng %",1,0)</formula>
    </cfRule>
  </conditionalFormatting>
  <conditionalFormatting sqref="AA118">
    <cfRule type="cellIs" dxfId="745" priority="524" stopIfTrue="1" operator="between">
      <formula>"Đến $"</formula>
      <formula>"Đến $"</formula>
    </cfRule>
    <cfRule type="cellIs" dxfId="744" priority="525" stopIfTrue="1" operator="between">
      <formula>"Dừng $"</formula>
      <formula>"Dừng $"</formula>
    </cfRule>
  </conditionalFormatting>
  <conditionalFormatting sqref="BX118">
    <cfRule type="cellIs" dxfId="743" priority="523" stopIfTrue="1" operator="between">
      <formula>0</formula>
      <formula>13</formula>
    </cfRule>
  </conditionalFormatting>
  <conditionalFormatting sqref="AM118">
    <cfRule type="expression" dxfId="742" priority="522" stopIfTrue="1">
      <formula>IF(AND(BC118=0,AM118&gt;0),1,0)</formula>
    </cfRule>
  </conditionalFormatting>
  <conditionalFormatting sqref="EF118">
    <cfRule type="expression" dxfId="741" priority="521" stopIfTrue="1">
      <formula>IF(EF118="Sửa",1,0)</formula>
    </cfRule>
  </conditionalFormatting>
  <conditionalFormatting sqref="N118">
    <cfRule type="cellIs" dxfId="740" priority="520" stopIfTrue="1" operator="between">
      <formula>"Ko hạn"</formula>
      <formula>"Ko hạn"</formula>
    </cfRule>
  </conditionalFormatting>
  <conditionalFormatting sqref="BT118">
    <cfRule type="expression" dxfId="739" priority="519" stopIfTrue="1">
      <formula>IF(AND(BY118=0,OR($AA$4-BT118&gt;BY118,$AA$4-BT118&lt;BY118)),1,0)</formula>
    </cfRule>
  </conditionalFormatting>
  <conditionalFormatting sqref="BN118">
    <cfRule type="expression" dxfId="738" priority="518" stopIfTrue="1">
      <formula>IF(AND(BY118=0,BN118&gt;0),1,0)</formula>
    </cfRule>
  </conditionalFormatting>
  <conditionalFormatting sqref="Q118">
    <cfRule type="expression" dxfId="737" priority="517">
      <formula>IF(P118=0,1,0)</formula>
    </cfRule>
  </conditionalFormatting>
  <conditionalFormatting sqref="BJ118:BK118">
    <cfRule type="expression" dxfId="736" priority="516" stopIfTrue="1">
      <formula>IF(AND(BS118=0,OR($AA$4-BJ118&gt;BS118,$AA$4-BJ118&lt;BS118)),1,0)</formula>
    </cfRule>
  </conditionalFormatting>
  <conditionalFormatting sqref="BR118">
    <cfRule type="expression" dxfId="735" priority="515" stopIfTrue="1">
      <formula>IF(AND(BO118=0,OR($AA$4-BR118&gt;BO118,$AA$4-BR118&lt;BO118)),1,0)</formula>
    </cfRule>
  </conditionalFormatting>
  <conditionalFormatting sqref="C118">
    <cfRule type="expression" dxfId="734" priority="512" stopIfTrue="1">
      <formula>IF(CY118="Hưu",1,0)</formula>
    </cfRule>
    <cfRule type="expression" dxfId="733" priority="513" stopIfTrue="1">
      <formula>IF(CY118="Quá",1,0)</formula>
    </cfRule>
    <cfRule type="expression" dxfId="732" priority="514" stopIfTrue="1">
      <formula>IF(BD118="Lùi",1,0)</formula>
    </cfRule>
  </conditionalFormatting>
  <conditionalFormatting sqref="A118">
    <cfRule type="expression" dxfId="731" priority="509" stopIfTrue="1">
      <formula>IF(CW118="Hưu",1,0)</formula>
    </cfRule>
    <cfRule type="expression" dxfId="730" priority="510" stopIfTrue="1">
      <formula>IF(CW118="Quá",1,0)</formula>
    </cfRule>
    <cfRule type="expression" dxfId="729" priority="511" stopIfTrue="1">
      <formula>IF(AM118="Lùi",1,0)</formula>
    </cfRule>
  </conditionalFormatting>
  <conditionalFormatting sqref="AP119">
    <cfRule type="cellIs" dxfId="728" priority="507" stopIfTrue="1" operator="between">
      <formula>"%"</formula>
      <formula>"%"</formula>
    </cfRule>
    <cfRule type="expression" dxfId="727" priority="508" stopIfTrue="1">
      <formula>IF(AO119=AQ119,1,0)</formula>
    </cfRule>
  </conditionalFormatting>
  <conditionalFormatting sqref="O119">
    <cfRule type="expression" dxfId="726" priority="506" stopIfTrue="1">
      <formula>IF(P119=0,1,0)</formula>
    </cfRule>
  </conditionalFormatting>
  <conditionalFormatting sqref="E119">
    <cfRule type="expression" dxfId="725" priority="504" stopIfTrue="1">
      <formula>IF(CW119="Hưu",1,0)</formula>
    </cfRule>
    <cfRule type="expression" dxfId="724" priority="505" stopIfTrue="1">
      <formula>IF(CW119="Quá",1,0)</formula>
    </cfRule>
  </conditionalFormatting>
  <conditionalFormatting sqref="DV119">
    <cfRule type="expression" dxfId="723" priority="502" stopIfTrue="1">
      <formula>IF(FN119="Hưu",1,0)</formula>
    </cfRule>
    <cfRule type="expression" dxfId="722" priority="503" stopIfTrue="1">
      <formula>IF(FN119="Quá",1,0)</formula>
    </cfRule>
  </conditionalFormatting>
  <conditionalFormatting sqref="AB119">
    <cfRule type="cellIs" dxfId="721" priority="499" stopIfTrue="1" operator="between">
      <formula>0</formula>
      <formula>0</formula>
    </cfRule>
    <cfRule type="expression" dxfId="720" priority="500" stopIfTrue="1">
      <formula>IF(AND(AD119&gt;AB119,AB119&gt;0),1,0)</formula>
    </cfRule>
    <cfRule type="expression" dxfId="719" priority="501" stopIfTrue="1">
      <formula>IF(AD119&lt;AB119,1,0)</formula>
    </cfRule>
  </conditionalFormatting>
  <conditionalFormatting sqref="CV119">
    <cfRule type="cellIs" dxfId="718" priority="496" stopIfTrue="1" operator="between">
      <formula>"Hưu"</formula>
      <formula>"Hưu"</formula>
    </cfRule>
    <cfRule type="cellIs" dxfId="717" priority="497" stopIfTrue="1" operator="between">
      <formula>"---"</formula>
      <formula>"---"</formula>
    </cfRule>
    <cfRule type="cellIs" dxfId="716" priority="498" stopIfTrue="1" operator="between">
      <formula>"Quá"</formula>
      <formula>"Quá"</formula>
    </cfRule>
  </conditionalFormatting>
  <conditionalFormatting sqref="BG119">
    <cfRule type="cellIs" dxfId="715" priority="495" stopIfTrue="1" operator="between">
      <formula>4</formula>
      <formula>4</formula>
    </cfRule>
  </conditionalFormatting>
  <conditionalFormatting sqref="BF119">
    <cfRule type="expression" dxfId="714" priority="493" stopIfTrue="1">
      <formula>IF(BF119="Đến %",1,0)</formula>
    </cfRule>
    <cfRule type="expression" dxfId="713" priority="494" stopIfTrue="1">
      <formula>IF(BF119="Dừng %",1,0)</formula>
    </cfRule>
  </conditionalFormatting>
  <conditionalFormatting sqref="AA119">
    <cfRule type="cellIs" dxfId="712" priority="491" stopIfTrue="1" operator="between">
      <formula>"Đến $"</formula>
      <formula>"Đến $"</formula>
    </cfRule>
    <cfRule type="cellIs" dxfId="711" priority="492" stopIfTrue="1" operator="between">
      <formula>"Dừng $"</formula>
      <formula>"Dừng $"</formula>
    </cfRule>
  </conditionalFormatting>
  <conditionalFormatting sqref="BX119">
    <cfRule type="cellIs" dxfId="710" priority="490" stopIfTrue="1" operator="between">
      <formula>0</formula>
      <formula>13</formula>
    </cfRule>
  </conditionalFormatting>
  <conditionalFormatting sqref="AM119">
    <cfRule type="expression" dxfId="709" priority="489" stopIfTrue="1">
      <formula>IF(AND(BC119=0,AM119&gt;0),1,0)</formula>
    </cfRule>
  </conditionalFormatting>
  <conditionalFormatting sqref="EF119">
    <cfRule type="expression" dxfId="708" priority="488" stopIfTrue="1">
      <formula>IF(EF119="Sửa",1,0)</formula>
    </cfRule>
  </conditionalFormatting>
  <conditionalFormatting sqref="N119">
    <cfRule type="cellIs" dxfId="707" priority="487" stopIfTrue="1" operator="between">
      <formula>"Ko hạn"</formula>
      <formula>"Ko hạn"</formula>
    </cfRule>
  </conditionalFormatting>
  <conditionalFormatting sqref="BT119">
    <cfRule type="expression" dxfId="706" priority="486" stopIfTrue="1">
      <formula>IF(AND(BY119=0,OR($AA$4-BT119&gt;BY119,$AA$4-BT119&lt;BY119)),1,0)</formula>
    </cfRule>
  </conditionalFormatting>
  <conditionalFormatting sqref="BN119">
    <cfRule type="expression" dxfId="705" priority="485" stopIfTrue="1">
      <formula>IF(AND(BY119=0,BN119&gt;0),1,0)</formula>
    </cfRule>
  </conditionalFormatting>
  <conditionalFormatting sqref="Q119">
    <cfRule type="expression" dxfId="704" priority="484">
      <formula>IF(P119=0,1,0)</formula>
    </cfRule>
  </conditionalFormatting>
  <conditionalFormatting sqref="BJ119:BK119">
    <cfRule type="expression" dxfId="703" priority="483" stopIfTrue="1">
      <formula>IF(AND(BS119=0,OR($AA$4-BJ119&gt;BS119,$AA$4-BJ119&lt;BS119)),1,0)</formula>
    </cfRule>
  </conditionalFormatting>
  <conditionalFormatting sqref="BR119">
    <cfRule type="expression" dxfId="702" priority="482" stopIfTrue="1">
      <formula>IF(AND(BO119=0,OR($AA$4-BR119&gt;BO119,$AA$4-BR119&lt;BO119)),1,0)</formula>
    </cfRule>
  </conditionalFormatting>
  <conditionalFormatting sqref="C119">
    <cfRule type="expression" dxfId="701" priority="479" stopIfTrue="1">
      <formula>IF(CY119="Hưu",1,0)</formula>
    </cfRule>
    <cfRule type="expression" dxfId="700" priority="480" stopIfTrue="1">
      <formula>IF(CY119="Quá",1,0)</formula>
    </cfRule>
    <cfRule type="expression" dxfId="699" priority="481" stopIfTrue="1">
      <formula>IF(BD119="Lùi",1,0)</formula>
    </cfRule>
  </conditionalFormatting>
  <conditionalFormatting sqref="A119">
    <cfRule type="expression" dxfId="698" priority="476" stopIfTrue="1">
      <formula>IF(CW119="Hưu",1,0)</formula>
    </cfRule>
    <cfRule type="expression" dxfId="697" priority="477" stopIfTrue="1">
      <formula>IF(CW119="Quá",1,0)</formula>
    </cfRule>
    <cfRule type="expression" dxfId="696" priority="478" stopIfTrue="1">
      <formula>IF(AM119="Lùi",1,0)</formula>
    </cfRule>
  </conditionalFormatting>
  <conditionalFormatting sqref="A46">
    <cfRule type="expression" dxfId="695" priority="389" stopIfTrue="1">
      <formula>IF(CV46="Hưu",1,0)</formula>
    </cfRule>
    <cfRule type="expression" dxfId="694" priority="390" stopIfTrue="1">
      <formula>IF(CV46="Quá",1,0)</formula>
    </cfRule>
    <cfRule type="expression" dxfId="693" priority="391" stopIfTrue="1">
      <formula>IF(AM46="Lùi",1,0)</formula>
    </cfRule>
  </conditionalFormatting>
  <conditionalFormatting sqref="DK42 BJ42">
    <cfRule type="cellIs" dxfId="692" priority="386" stopIfTrue="1" operator="between">
      <formula>"Hưu"</formula>
      <formula>"Hưu"</formula>
    </cfRule>
    <cfRule type="cellIs" dxfId="691" priority="387" stopIfTrue="1" operator="between">
      <formula>"---"</formula>
      <formula>"---"</formula>
    </cfRule>
    <cfRule type="cellIs" dxfId="690" priority="388" stopIfTrue="1" operator="between">
      <formula>"Quá"</formula>
      <formula>"Quá"</formula>
    </cfRule>
  </conditionalFormatting>
  <conditionalFormatting sqref="BB42 DB42">
    <cfRule type="cellIs" dxfId="689" priority="384" stopIfTrue="1" operator="between">
      <formula>"Đến"</formula>
      <formula>"Đến"</formula>
    </cfRule>
    <cfRule type="cellIs" dxfId="688" priority="385" stopIfTrue="1" operator="between">
      <formula>"Quá"</formula>
      <formula>"Quá"</formula>
    </cfRule>
  </conditionalFormatting>
  <conditionalFormatting sqref="BR42">
    <cfRule type="expression" dxfId="687" priority="381" stopIfTrue="1">
      <formula>IF(AND(#REF!&gt;0,#REF!&lt;5),1,0)</formula>
    </cfRule>
    <cfRule type="expression" dxfId="686" priority="382" stopIfTrue="1">
      <formula>IF(#REF!=5,1,0)</formula>
    </cfRule>
    <cfRule type="expression" dxfId="685" priority="383" stopIfTrue="1">
      <formula>IF(#REF!&gt;5,1,0)</formula>
    </cfRule>
  </conditionalFormatting>
  <conditionalFormatting sqref="A42">
    <cfRule type="expression" dxfId="684" priority="379" stopIfTrue="1">
      <formula>IF(#REF!="Hưu",1,0)</formula>
    </cfRule>
    <cfRule type="expression" dxfId="683" priority="380" stopIfTrue="1">
      <formula>IF(#REF!="Quá",1,0)</formula>
    </cfRule>
  </conditionalFormatting>
  <conditionalFormatting sqref="BE42">
    <cfRule type="expression" dxfId="682" priority="377" stopIfTrue="1">
      <formula>IF(#REF!&gt;0,1,0)</formula>
    </cfRule>
    <cfRule type="expression" dxfId="681" priority="378" stopIfTrue="1">
      <formula>IF(#REF!=0,1,0)</formula>
    </cfRule>
  </conditionalFormatting>
  <conditionalFormatting sqref="BB42">
    <cfRule type="expression" dxfId="680" priority="376" stopIfTrue="1">
      <formula>IF(OR(#REF!="Lương Sớm Hưu",#REF!="Nâng Ngạch Hưu"),1,0)</formula>
    </cfRule>
  </conditionalFormatting>
  <conditionalFormatting sqref="BI42">
    <cfRule type="expression" dxfId="679" priority="373" stopIfTrue="1">
      <formula>IF(#REF!="Nâg Ngạch sau TB",1,0)</formula>
    </cfRule>
    <cfRule type="expression" dxfId="678" priority="374" stopIfTrue="1">
      <formula>IF(#REF!="Nâg Lươg Sớm sau TB",1,0)</formula>
    </cfRule>
    <cfRule type="expression" dxfId="677" priority="375" stopIfTrue="1">
      <formula>IF(#REF!="Nâg PC TNVK cùng QĐ",1,0)</formula>
    </cfRule>
  </conditionalFormatting>
  <conditionalFormatting sqref="DE42">
    <cfRule type="expression" dxfId="676" priority="371" stopIfTrue="1">
      <formula>IF(#REF!&gt;0,1,0)</formula>
    </cfRule>
    <cfRule type="expression" dxfId="675" priority="372" stopIfTrue="1">
      <formula>IF(#REF!=0,1,0)</formula>
    </cfRule>
  </conditionalFormatting>
  <conditionalFormatting sqref="DB42">
    <cfRule type="expression" dxfId="674" priority="370" stopIfTrue="1">
      <formula>IF(OR(#REF!="Lương Sớm Hưu",#REF!="Nâng Ngạch Hưu"),1,0)</formula>
    </cfRule>
  </conditionalFormatting>
  <conditionalFormatting sqref="DJ42">
    <cfRule type="expression" dxfId="673" priority="367" stopIfTrue="1">
      <formula>IF(#REF!="Nâg Ngạch sau TB",1,0)</formula>
    </cfRule>
    <cfRule type="expression" dxfId="672" priority="368" stopIfTrue="1">
      <formula>IF(#REF!="Nâg Lươg Sớm sau TB",1,0)</formula>
    </cfRule>
    <cfRule type="expression" dxfId="671" priority="369" stopIfTrue="1">
      <formula>IF(#REF!="Nâg PC TNVK cùng QĐ",1,0)</formula>
    </cfRule>
  </conditionalFormatting>
  <conditionalFormatting sqref="DN42">
    <cfRule type="expression" dxfId="670" priority="364" stopIfTrue="1">
      <formula>IF(FF42="Hưu",1,0)</formula>
    </cfRule>
    <cfRule type="expression" dxfId="669" priority="365" stopIfTrue="1">
      <formula>IF(FF42="Quá",1,0)</formula>
    </cfRule>
    <cfRule type="expression" dxfId="668" priority="366" stopIfTrue="1">
      <formula>IF(EN42="Lùi",1,0)</formula>
    </cfRule>
  </conditionalFormatting>
  <conditionalFormatting sqref="DU42">
    <cfRule type="expression" dxfId="667" priority="362" stopIfTrue="1">
      <formula>IF(FK42="Hưu",1,0)</formula>
    </cfRule>
    <cfRule type="expression" dxfId="666" priority="363" stopIfTrue="1">
      <formula>IF(FK42="Quá",1,0)</formula>
    </cfRule>
  </conditionalFormatting>
  <conditionalFormatting sqref="CU42">
    <cfRule type="cellIs" dxfId="665" priority="359" stopIfTrue="1" operator="between">
      <formula>"Hưu"</formula>
      <formula>"Hưu"</formula>
    </cfRule>
    <cfRule type="cellIs" dxfId="664" priority="360" stopIfTrue="1" operator="between">
      <formula>"---"</formula>
      <formula>"---"</formula>
    </cfRule>
    <cfRule type="cellIs" dxfId="663" priority="361" stopIfTrue="1" operator="between">
      <formula>"Quá"</formula>
      <formula>"Quá"</formula>
    </cfRule>
  </conditionalFormatting>
  <conditionalFormatting sqref="BF42">
    <cfRule type="cellIs" dxfId="662" priority="358" stopIfTrue="1" operator="between">
      <formula>4</formula>
      <formula>4</formula>
    </cfRule>
  </conditionalFormatting>
  <conditionalFormatting sqref="BE42">
    <cfRule type="expression" dxfId="661" priority="356" stopIfTrue="1">
      <formula>IF(BE42="Đến %",1,0)</formula>
    </cfRule>
    <cfRule type="expression" dxfId="660" priority="357" stopIfTrue="1">
      <formula>IF(BE42="Dừng %",1,0)</formula>
    </cfRule>
  </conditionalFormatting>
  <conditionalFormatting sqref="BW42">
    <cfRule type="cellIs" dxfId="659" priority="355" stopIfTrue="1" operator="between">
      <formula>0</formula>
      <formula>13</formula>
    </cfRule>
  </conditionalFormatting>
  <conditionalFormatting sqref="EC42">
    <cfRule type="expression" dxfId="658" priority="354" stopIfTrue="1">
      <formula>IF(EC42="Sửa",1,0)</formula>
    </cfRule>
  </conditionalFormatting>
  <conditionalFormatting sqref="BS42">
    <cfRule type="expression" dxfId="657" priority="353" stopIfTrue="1">
      <formula>IF(AND(BX42=0,OR($AA$4-BS42&gt;BX42,$AA$4-BS42&lt;BX42)),1,0)</formula>
    </cfRule>
  </conditionalFormatting>
  <conditionalFormatting sqref="BM42">
    <cfRule type="expression" dxfId="656" priority="352" stopIfTrue="1">
      <formula>IF(AND(BX42=0,BM42&gt;0),1,0)</formula>
    </cfRule>
  </conditionalFormatting>
  <conditionalFormatting sqref="BI42:BJ42">
    <cfRule type="expression" dxfId="655" priority="351" stopIfTrue="1">
      <formula>IF(AND(BR42=0,OR($AA$4-BI42&gt;BR42,$AA$4-BI42&lt;BR42)),1,0)</formula>
    </cfRule>
  </conditionalFormatting>
  <conditionalFormatting sqref="BQ42">
    <cfRule type="expression" dxfId="654" priority="350" stopIfTrue="1">
      <formula>IF(AND(BN42=0,OR($AA$4-BQ42&gt;BN42,$AA$4-BQ42&lt;BN42)),1,0)</formula>
    </cfRule>
  </conditionalFormatting>
  <conditionalFormatting sqref="C42">
    <cfRule type="expression" dxfId="653" priority="347" stopIfTrue="1">
      <formula>IF(CX42="Hưu",1,0)</formula>
    </cfRule>
    <cfRule type="expression" dxfId="652" priority="348" stopIfTrue="1">
      <formula>IF(CX42="Quá",1,0)</formula>
    </cfRule>
    <cfRule type="expression" dxfId="651" priority="349" stopIfTrue="1">
      <formula>IF(BC42="Lùi",1,0)</formula>
    </cfRule>
  </conditionalFormatting>
  <conditionalFormatting sqref="A42">
    <cfRule type="expression" dxfId="650" priority="344" stopIfTrue="1">
      <formula>IF(CV42="Hưu",1,0)</formula>
    </cfRule>
    <cfRule type="expression" dxfId="649" priority="345" stopIfTrue="1">
      <formula>IF(CV42="Quá",1,0)</formula>
    </cfRule>
    <cfRule type="expression" dxfId="648" priority="346" stopIfTrue="1">
      <formula>IF(AM42="Lùi",1,0)</formula>
    </cfRule>
  </conditionalFormatting>
  <conditionalFormatting sqref="DK43:DK45 BJ43:BJ45">
    <cfRule type="cellIs" dxfId="647" priority="341" stopIfTrue="1" operator="between">
      <formula>"Hưu"</formula>
      <formula>"Hưu"</formula>
    </cfRule>
    <cfRule type="cellIs" dxfId="646" priority="342" stopIfTrue="1" operator="between">
      <formula>"---"</formula>
      <formula>"---"</formula>
    </cfRule>
    <cfRule type="cellIs" dxfId="645" priority="343" stopIfTrue="1" operator="between">
      <formula>"Quá"</formula>
      <formula>"Quá"</formula>
    </cfRule>
  </conditionalFormatting>
  <conditionalFormatting sqref="BB43:BB45 DB43:DB45">
    <cfRule type="cellIs" dxfId="644" priority="339" stopIfTrue="1" operator="between">
      <formula>"Đến"</formula>
      <formula>"Đến"</formula>
    </cfRule>
    <cfRule type="cellIs" dxfId="643" priority="340" stopIfTrue="1" operator="between">
      <formula>"Quá"</formula>
      <formula>"Quá"</formula>
    </cfRule>
  </conditionalFormatting>
  <conditionalFormatting sqref="BR43:BR45">
    <cfRule type="expression" dxfId="642" priority="336" stopIfTrue="1">
      <formula>IF(AND(#REF!&gt;0,#REF!&lt;5),1,0)</formula>
    </cfRule>
    <cfRule type="expression" dxfId="641" priority="337" stopIfTrue="1">
      <formula>IF(#REF!=5,1,0)</formula>
    </cfRule>
    <cfRule type="expression" dxfId="640" priority="338" stopIfTrue="1">
      <formula>IF(#REF!&gt;5,1,0)</formula>
    </cfRule>
  </conditionalFormatting>
  <conditionalFormatting sqref="A43:A45">
    <cfRule type="expression" dxfId="639" priority="334" stopIfTrue="1">
      <formula>IF(#REF!="Hưu",1,0)</formula>
    </cfRule>
    <cfRule type="expression" dxfId="638" priority="335" stopIfTrue="1">
      <formula>IF(#REF!="Quá",1,0)</formula>
    </cfRule>
  </conditionalFormatting>
  <conditionalFormatting sqref="BE43:BE45">
    <cfRule type="expression" dxfId="637" priority="332" stopIfTrue="1">
      <formula>IF(#REF!&gt;0,1,0)</formula>
    </cfRule>
    <cfRule type="expression" dxfId="636" priority="333" stopIfTrue="1">
      <formula>IF(#REF!=0,1,0)</formula>
    </cfRule>
  </conditionalFormatting>
  <conditionalFormatting sqref="BB43:BB45">
    <cfRule type="expression" dxfId="635" priority="331" stopIfTrue="1">
      <formula>IF(OR(#REF!="Lương Sớm Hưu",#REF!="Nâng Ngạch Hưu"),1,0)</formula>
    </cfRule>
  </conditionalFormatting>
  <conditionalFormatting sqref="BI43:BI45">
    <cfRule type="expression" dxfId="634" priority="328" stopIfTrue="1">
      <formula>IF(#REF!="Nâg Ngạch sau TB",1,0)</formula>
    </cfRule>
    <cfRule type="expression" dxfId="633" priority="329" stopIfTrue="1">
      <formula>IF(#REF!="Nâg Lươg Sớm sau TB",1,0)</formula>
    </cfRule>
    <cfRule type="expression" dxfId="632" priority="330" stopIfTrue="1">
      <formula>IF(#REF!="Nâg PC TNVK cùng QĐ",1,0)</formula>
    </cfRule>
  </conditionalFormatting>
  <conditionalFormatting sqref="DE43:DE45">
    <cfRule type="expression" dxfId="631" priority="326" stopIfTrue="1">
      <formula>IF(#REF!&gt;0,1,0)</formula>
    </cfRule>
    <cfRule type="expression" dxfId="630" priority="327" stopIfTrue="1">
      <formula>IF(#REF!=0,1,0)</formula>
    </cfRule>
  </conditionalFormatting>
  <conditionalFormatting sqref="DB43:DB45">
    <cfRule type="expression" dxfId="629" priority="325" stopIfTrue="1">
      <formula>IF(OR(#REF!="Lương Sớm Hưu",#REF!="Nâng Ngạch Hưu"),1,0)</formula>
    </cfRule>
  </conditionalFormatting>
  <conditionalFormatting sqref="DJ43:DJ45">
    <cfRule type="expression" dxfId="628" priority="322" stopIfTrue="1">
      <formula>IF(#REF!="Nâg Ngạch sau TB",1,0)</formula>
    </cfRule>
    <cfRule type="expression" dxfId="627" priority="323" stopIfTrue="1">
      <formula>IF(#REF!="Nâg Lươg Sớm sau TB",1,0)</formula>
    </cfRule>
    <cfRule type="expression" dxfId="626" priority="324" stopIfTrue="1">
      <formula>IF(#REF!="Nâg PC TNVK cùng QĐ",1,0)</formula>
    </cfRule>
  </conditionalFormatting>
  <conditionalFormatting sqref="DN43:DN45">
    <cfRule type="expression" dxfId="625" priority="319" stopIfTrue="1">
      <formula>IF(FF43="Hưu",1,0)</formula>
    </cfRule>
    <cfRule type="expression" dxfId="624" priority="320" stopIfTrue="1">
      <formula>IF(FF43="Quá",1,0)</formula>
    </cfRule>
    <cfRule type="expression" dxfId="623" priority="321" stopIfTrue="1">
      <formula>IF(EN43="Lùi",1,0)</formula>
    </cfRule>
  </conditionalFormatting>
  <conditionalFormatting sqref="DU43:DU45">
    <cfRule type="expression" dxfId="622" priority="317" stopIfTrue="1">
      <formula>IF(FK43="Hưu",1,0)</formula>
    </cfRule>
    <cfRule type="expression" dxfId="621" priority="318" stopIfTrue="1">
      <formula>IF(FK43="Quá",1,0)</formula>
    </cfRule>
  </conditionalFormatting>
  <conditionalFormatting sqref="CU43:CU45">
    <cfRule type="cellIs" dxfId="620" priority="314" stopIfTrue="1" operator="between">
      <formula>"Hưu"</formula>
      <formula>"Hưu"</formula>
    </cfRule>
    <cfRule type="cellIs" dxfId="619" priority="315" stopIfTrue="1" operator="between">
      <formula>"---"</formula>
      <formula>"---"</formula>
    </cfRule>
    <cfRule type="cellIs" dxfId="618" priority="316" stopIfTrue="1" operator="between">
      <formula>"Quá"</formula>
      <formula>"Quá"</formula>
    </cfRule>
  </conditionalFormatting>
  <conditionalFormatting sqref="BF43:BF45">
    <cfRule type="cellIs" dxfId="617" priority="313" stopIfTrue="1" operator="between">
      <formula>4</formula>
      <formula>4</formula>
    </cfRule>
  </conditionalFormatting>
  <conditionalFormatting sqref="BE43:BE45">
    <cfRule type="expression" dxfId="616" priority="311" stopIfTrue="1">
      <formula>IF(BE43="Đến %",1,0)</formula>
    </cfRule>
    <cfRule type="expression" dxfId="615" priority="312" stopIfTrue="1">
      <formula>IF(BE43="Dừng %",1,0)</formula>
    </cfRule>
  </conditionalFormatting>
  <conditionalFormatting sqref="BW43:BW45">
    <cfRule type="cellIs" dxfId="614" priority="310" stopIfTrue="1" operator="between">
      <formula>0</formula>
      <formula>13</formula>
    </cfRule>
  </conditionalFormatting>
  <conditionalFormatting sqref="EC43:EC45">
    <cfRule type="expression" dxfId="613" priority="309" stopIfTrue="1">
      <formula>IF(EC43="Sửa",1,0)</formula>
    </cfRule>
  </conditionalFormatting>
  <conditionalFormatting sqref="BS43:BS45">
    <cfRule type="expression" dxfId="612" priority="308" stopIfTrue="1">
      <formula>IF(AND(BX43=0,OR($AA$4-BS43&gt;BX43,$AA$4-BS43&lt;BX43)),1,0)</formula>
    </cfRule>
  </conditionalFormatting>
  <conditionalFormatting sqref="BM43:BM45">
    <cfRule type="expression" dxfId="611" priority="307" stopIfTrue="1">
      <formula>IF(AND(BX43=0,BM43&gt;0),1,0)</formula>
    </cfRule>
  </conditionalFormatting>
  <conditionalFormatting sqref="BI43:BJ45">
    <cfRule type="expression" dxfId="610" priority="306" stopIfTrue="1">
      <formula>IF(AND(BR43=0,OR($AA$4-BI43&gt;BR43,$AA$4-BI43&lt;BR43)),1,0)</formula>
    </cfRule>
  </conditionalFormatting>
  <conditionalFormatting sqref="BQ43:BQ45">
    <cfRule type="expression" dxfId="609" priority="305" stopIfTrue="1">
      <formula>IF(AND(BN43=0,OR($AA$4-BQ43&gt;BN43,$AA$4-BQ43&lt;BN43)),1,0)</formula>
    </cfRule>
  </conditionalFormatting>
  <conditionalFormatting sqref="C43:C45">
    <cfRule type="expression" dxfId="608" priority="302" stopIfTrue="1">
      <formula>IF(CX43="Hưu",1,0)</formula>
    </cfRule>
    <cfRule type="expression" dxfId="607" priority="303" stopIfTrue="1">
      <formula>IF(CX43="Quá",1,0)</formula>
    </cfRule>
    <cfRule type="expression" dxfId="606" priority="304" stopIfTrue="1">
      <formula>IF(BC43="Lùi",1,0)</formula>
    </cfRule>
  </conditionalFormatting>
  <conditionalFormatting sqref="A43:A45">
    <cfRule type="expression" dxfId="605" priority="299" stopIfTrue="1">
      <formula>IF(CV43="Hưu",1,0)</formula>
    </cfRule>
    <cfRule type="expression" dxfId="604" priority="300" stopIfTrue="1">
      <formula>IF(CV43="Quá",1,0)</formula>
    </cfRule>
    <cfRule type="expression" dxfId="603" priority="301" stopIfTrue="1">
      <formula>IF(AM43="Lùi",1,0)</formula>
    </cfRule>
  </conditionalFormatting>
  <conditionalFormatting sqref="DK46 BJ46">
    <cfRule type="cellIs" dxfId="602" priority="296" stopIfTrue="1" operator="between">
      <formula>"Hưu"</formula>
      <formula>"Hưu"</formula>
    </cfRule>
    <cfRule type="cellIs" dxfId="601" priority="297" stopIfTrue="1" operator="between">
      <formula>"---"</formula>
      <formula>"---"</formula>
    </cfRule>
    <cfRule type="cellIs" dxfId="600" priority="298" stopIfTrue="1" operator="between">
      <formula>"Quá"</formula>
      <formula>"Quá"</formula>
    </cfRule>
  </conditionalFormatting>
  <conditionalFormatting sqref="BB46 DB46">
    <cfRule type="cellIs" dxfId="599" priority="294" stopIfTrue="1" operator="between">
      <formula>"Đến"</formula>
      <formula>"Đến"</formula>
    </cfRule>
    <cfRule type="cellIs" dxfId="598" priority="295" stopIfTrue="1" operator="between">
      <formula>"Quá"</formula>
      <formula>"Quá"</formula>
    </cfRule>
  </conditionalFormatting>
  <conditionalFormatting sqref="BR46">
    <cfRule type="expression" dxfId="597" priority="291" stopIfTrue="1">
      <formula>IF(AND(#REF!&gt;0,#REF!&lt;5),1,0)</formula>
    </cfRule>
    <cfRule type="expression" dxfId="596" priority="292" stopIfTrue="1">
      <formula>IF(#REF!=5,1,0)</formula>
    </cfRule>
    <cfRule type="expression" dxfId="595" priority="293" stopIfTrue="1">
      <formula>IF(#REF!&gt;5,1,0)</formula>
    </cfRule>
  </conditionalFormatting>
  <conditionalFormatting sqref="A46">
    <cfRule type="expression" dxfId="594" priority="289" stopIfTrue="1">
      <formula>IF(#REF!="Hưu",1,0)</formula>
    </cfRule>
    <cfRule type="expression" dxfId="593" priority="290" stopIfTrue="1">
      <formula>IF(#REF!="Quá",1,0)</formula>
    </cfRule>
  </conditionalFormatting>
  <conditionalFormatting sqref="BE46">
    <cfRule type="expression" dxfId="592" priority="287" stopIfTrue="1">
      <formula>IF(#REF!&gt;0,1,0)</formula>
    </cfRule>
    <cfRule type="expression" dxfId="591" priority="288" stopIfTrue="1">
      <formula>IF(#REF!=0,1,0)</formula>
    </cfRule>
  </conditionalFormatting>
  <conditionalFormatting sqref="BB46">
    <cfRule type="expression" dxfId="590" priority="286" stopIfTrue="1">
      <formula>IF(OR(#REF!="Lương Sớm Hưu",#REF!="Nâng Ngạch Hưu"),1,0)</formula>
    </cfRule>
  </conditionalFormatting>
  <conditionalFormatting sqref="BI46">
    <cfRule type="expression" dxfId="589" priority="283" stopIfTrue="1">
      <formula>IF(#REF!="Nâg Ngạch sau TB",1,0)</formula>
    </cfRule>
    <cfRule type="expression" dxfId="588" priority="284" stopIfTrue="1">
      <formula>IF(#REF!="Nâg Lươg Sớm sau TB",1,0)</formula>
    </cfRule>
    <cfRule type="expression" dxfId="587" priority="285" stopIfTrue="1">
      <formula>IF(#REF!="Nâg PC TNVK cùng QĐ",1,0)</formula>
    </cfRule>
  </conditionalFormatting>
  <conditionalFormatting sqref="DE46">
    <cfRule type="expression" dxfId="586" priority="281" stopIfTrue="1">
      <formula>IF(#REF!&gt;0,1,0)</formula>
    </cfRule>
    <cfRule type="expression" dxfId="585" priority="282" stopIfTrue="1">
      <formula>IF(#REF!=0,1,0)</formula>
    </cfRule>
  </conditionalFormatting>
  <conditionalFormatting sqref="DB46">
    <cfRule type="expression" dxfId="584" priority="280" stopIfTrue="1">
      <formula>IF(OR(#REF!="Lương Sớm Hưu",#REF!="Nâng Ngạch Hưu"),1,0)</formula>
    </cfRule>
  </conditionalFormatting>
  <conditionalFormatting sqref="DJ46">
    <cfRule type="expression" dxfId="583" priority="277" stopIfTrue="1">
      <formula>IF(#REF!="Nâg Ngạch sau TB",1,0)</formula>
    </cfRule>
    <cfRule type="expression" dxfId="582" priority="278" stopIfTrue="1">
      <formula>IF(#REF!="Nâg Lươg Sớm sau TB",1,0)</formula>
    </cfRule>
    <cfRule type="expression" dxfId="581" priority="279" stopIfTrue="1">
      <formula>IF(#REF!="Nâg PC TNVK cùng QĐ",1,0)</formula>
    </cfRule>
  </conditionalFormatting>
  <conditionalFormatting sqref="DN46">
    <cfRule type="expression" dxfId="580" priority="274" stopIfTrue="1">
      <formula>IF(FF46="Hưu",1,0)</formula>
    </cfRule>
    <cfRule type="expression" dxfId="579" priority="275" stopIfTrue="1">
      <formula>IF(FF46="Quá",1,0)</formula>
    </cfRule>
    <cfRule type="expression" dxfId="578" priority="276" stopIfTrue="1">
      <formula>IF(EN46="Lùi",1,0)</formula>
    </cfRule>
  </conditionalFormatting>
  <conditionalFormatting sqref="DU46">
    <cfRule type="expression" dxfId="577" priority="272" stopIfTrue="1">
      <formula>IF(FK46="Hưu",1,0)</formula>
    </cfRule>
    <cfRule type="expression" dxfId="576" priority="273" stopIfTrue="1">
      <formula>IF(FK46="Quá",1,0)</formula>
    </cfRule>
  </conditionalFormatting>
  <conditionalFormatting sqref="CU46">
    <cfRule type="cellIs" dxfId="575" priority="269" stopIfTrue="1" operator="between">
      <formula>"Hưu"</formula>
      <formula>"Hưu"</formula>
    </cfRule>
    <cfRule type="cellIs" dxfId="574" priority="270" stopIfTrue="1" operator="between">
      <formula>"---"</formula>
      <formula>"---"</formula>
    </cfRule>
    <cfRule type="cellIs" dxfId="573" priority="271" stopIfTrue="1" operator="between">
      <formula>"Quá"</formula>
      <formula>"Quá"</formula>
    </cfRule>
  </conditionalFormatting>
  <conditionalFormatting sqref="BF46">
    <cfRule type="cellIs" dxfId="572" priority="268" stopIfTrue="1" operator="between">
      <formula>4</formula>
      <formula>4</formula>
    </cfRule>
  </conditionalFormatting>
  <conditionalFormatting sqref="BE46">
    <cfRule type="expression" dxfId="571" priority="266" stopIfTrue="1">
      <formula>IF(BE46="Đến %",1,0)</formula>
    </cfRule>
    <cfRule type="expression" dxfId="570" priority="267" stopIfTrue="1">
      <formula>IF(BE46="Dừng %",1,0)</formula>
    </cfRule>
  </conditionalFormatting>
  <conditionalFormatting sqref="BW46">
    <cfRule type="cellIs" dxfId="569" priority="265" stopIfTrue="1" operator="between">
      <formula>0</formula>
      <formula>13</formula>
    </cfRule>
  </conditionalFormatting>
  <conditionalFormatting sqref="EC46">
    <cfRule type="expression" dxfId="568" priority="264" stopIfTrue="1">
      <formula>IF(EC46="Sửa",1,0)</formula>
    </cfRule>
  </conditionalFormatting>
  <conditionalFormatting sqref="BS46">
    <cfRule type="expression" dxfId="567" priority="263" stopIfTrue="1">
      <formula>IF(AND(BX46=0,OR($AA$4-BS46&gt;BX46,$AA$4-BS46&lt;BX46)),1,0)</formula>
    </cfRule>
  </conditionalFormatting>
  <conditionalFormatting sqref="BM46">
    <cfRule type="expression" dxfId="566" priority="262" stopIfTrue="1">
      <formula>IF(AND(BX46=0,BM46&gt;0),1,0)</formula>
    </cfRule>
  </conditionalFormatting>
  <conditionalFormatting sqref="BI46:BJ46">
    <cfRule type="expression" dxfId="565" priority="261" stopIfTrue="1">
      <formula>IF(AND(BR46=0,OR($AA$4-BI46&gt;BR46,$AA$4-BI46&lt;BR46)),1,0)</formula>
    </cfRule>
  </conditionalFormatting>
  <conditionalFormatting sqref="BQ46">
    <cfRule type="expression" dxfId="564" priority="260" stopIfTrue="1">
      <formula>IF(AND(BN46=0,OR($AA$4-BQ46&gt;BN46,$AA$4-BQ46&lt;BN46)),1,0)</formula>
    </cfRule>
  </conditionalFormatting>
  <conditionalFormatting sqref="C46">
    <cfRule type="expression" dxfId="563" priority="257" stopIfTrue="1">
      <formula>IF(CX46="Hưu",1,0)</formula>
    </cfRule>
    <cfRule type="expression" dxfId="562" priority="258" stopIfTrue="1">
      <formula>IF(CX46="Quá",1,0)</formula>
    </cfRule>
    <cfRule type="expression" dxfId="561" priority="259" stopIfTrue="1">
      <formula>IF(BC46="Lùi",1,0)</formula>
    </cfRule>
  </conditionalFormatting>
  <conditionalFormatting sqref="DW87:DW91">
    <cfRule type="expression" dxfId="560" priority="236" stopIfTrue="1">
      <formula>IF(DV87=0,1,0)</formula>
    </cfRule>
  </conditionalFormatting>
  <conditionalFormatting sqref="AP103:AP116">
    <cfRule type="cellIs" dxfId="559" priority="234" stopIfTrue="1" operator="between">
      <formula>"%"</formula>
      <formula>"%"</formula>
    </cfRule>
    <cfRule type="expression" dxfId="558" priority="235" stopIfTrue="1">
      <formula>IF(AO103=AQ103,1,0)</formula>
    </cfRule>
  </conditionalFormatting>
  <conditionalFormatting sqref="E113:E116 V103:W103 Y103:Z103 V96 E96:E97 E100:E102 L96:S103 L108:S113 L115:S116 M114:S114 E105:E111 E85:E91 L85:S94">
    <cfRule type="expression" dxfId="557" priority="232" stopIfTrue="1">
      <formula>IF(CW85="Hưu",1,0)</formula>
    </cfRule>
    <cfRule type="expression" dxfId="556" priority="233" stopIfTrue="1">
      <formula>IF(CW85="Quá",1,0)</formula>
    </cfRule>
  </conditionalFormatting>
  <conditionalFormatting sqref="DO112 DO98:DO101 DO107:DO110 DO85 DO103:DO104 DO87:DO94">
    <cfRule type="expression" dxfId="555" priority="229" stopIfTrue="1">
      <formula>IF(FI85="Hưu",1,0)</formula>
    </cfRule>
    <cfRule type="expression" dxfId="554" priority="230" stopIfTrue="1">
      <formula>IF(FI85="Quá",1,0)</formula>
    </cfRule>
    <cfRule type="expression" dxfId="553" priority="231" stopIfTrue="1">
      <formula>IF(EQ85="Lùi",1,0)</formula>
    </cfRule>
  </conditionalFormatting>
  <conditionalFormatting sqref="DV113:DV116 DV92 DV96:DV97 DV100:DV102 DV105:DV111 DV85:DV86">
    <cfRule type="expression" dxfId="552" priority="227" stopIfTrue="1">
      <formula>IF(FN85="Hưu",1,0)</formula>
    </cfRule>
    <cfRule type="expression" dxfId="551" priority="228" stopIfTrue="1">
      <formula>IF(FN85="Quá",1,0)</formula>
    </cfRule>
  </conditionalFormatting>
  <conditionalFormatting sqref="AB93:AB94 AB96:AB98 AB100:AB102 AB104:AB116 AB85:AB91">
    <cfRule type="cellIs" dxfId="550" priority="224" stopIfTrue="1" operator="between">
      <formula>0</formula>
      <formula>0</formula>
    </cfRule>
    <cfRule type="expression" dxfId="549" priority="225" stopIfTrue="1">
      <formula>IF(AND(AD85&gt;AB85,AB85&gt;0),1,0)</formula>
    </cfRule>
    <cfRule type="expression" dxfId="548" priority="226" stopIfTrue="1">
      <formula>IF(AD85&lt;AB85,1,0)</formula>
    </cfRule>
  </conditionalFormatting>
  <conditionalFormatting sqref="CV96:CV101 CV109:CV114 CV85:CV94 CV104:CV107">
    <cfRule type="cellIs" dxfId="547" priority="221" stopIfTrue="1" operator="between">
      <formula>"Hưu"</formula>
      <formula>"Hưu"</formula>
    </cfRule>
    <cfRule type="cellIs" dxfId="546" priority="222" stopIfTrue="1" operator="between">
      <formula>"---"</formula>
      <formula>"---"</formula>
    </cfRule>
    <cfRule type="cellIs" dxfId="545" priority="223" stopIfTrue="1" operator="between">
      <formula>"Quá"</formula>
      <formula>"Quá"</formula>
    </cfRule>
  </conditionalFormatting>
  <conditionalFormatting sqref="BG93:BG94 BG96:BG101 BG109:BG114 BG85:BG91 BG104:BG107">
    <cfRule type="cellIs" dxfId="544" priority="220" stopIfTrue="1" operator="between">
      <formula>4</formula>
      <formula>4</formula>
    </cfRule>
  </conditionalFormatting>
  <conditionalFormatting sqref="BF96:BF101 BF109:BF114 BF85:BF94 BF104:BF107">
    <cfRule type="expression" dxfId="543" priority="218" stopIfTrue="1">
      <formula>IF(BF85="Đến %",1,0)</formula>
    </cfRule>
    <cfRule type="expression" dxfId="542" priority="219" stopIfTrue="1">
      <formula>IF(BF85="Dừng %",1,0)</formula>
    </cfRule>
  </conditionalFormatting>
  <conditionalFormatting sqref="AA96:AA101 AA109:AA114 AA85:AA94 AA104:AA107">
    <cfRule type="cellIs" dxfId="541" priority="216" stopIfTrue="1" operator="between">
      <formula>"Đến $"</formula>
      <formula>"Đến $"</formula>
    </cfRule>
    <cfRule type="cellIs" dxfId="540" priority="217" stopIfTrue="1" operator="between">
      <formula>"Dừng $"</formula>
      <formula>"Dừng $"</formula>
    </cfRule>
  </conditionalFormatting>
  <conditionalFormatting sqref="BX111:BX114 BX96:BX109 BX85:BX94">
    <cfRule type="cellIs" dxfId="539" priority="215" stopIfTrue="1" operator="between">
      <formula>0</formula>
      <formula>13</formula>
    </cfRule>
  </conditionalFormatting>
  <conditionalFormatting sqref="AM96:AM116 AM85:AM94">
    <cfRule type="expression" dxfId="538" priority="214" stopIfTrue="1">
      <formula>IF(AND(BC85=0,AM85&gt;0),1,0)</formula>
    </cfRule>
  </conditionalFormatting>
  <conditionalFormatting sqref="EF96:EF101 EF109:EF114 EF85:EF94 EF104:EF107">
    <cfRule type="expression" dxfId="537" priority="213" stopIfTrue="1">
      <formula>IF(EF85="Sửa",1,0)</formula>
    </cfRule>
  </conditionalFormatting>
  <conditionalFormatting sqref="BT96 BT98:BT116 BT85:BT94">
    <cfRule type="expression" dxfId="536" priority="212" stopIfTrue="1">
      <formula>IF(AND(BY85=0,OR($AA$4-BT85&gt;BY85,$AA$4-BT85&lt;BY85)),1,0)</formula>
    </cfRule>
  </conditionalFormatting>
  <conditionalFormatting sqref="BN96:BN116 BN85:BN94">
    <cfRule type="expression" dxfId="535" priority="211" stopIfTrue="1">
      <formula>IF(AND(BY85=0,BN85&gt;0),1,0)</formula>
    </cfRule>
  </conditionalFormatting>
  <conditionalFormatting sqref="CV116">
    <cfRule type="cellIs" dxfId="534" priority="208" stopIfTrue="1" operator="between">
      <formula>"Hưu"</formula>
      <formula>"Hưu"</formula>
    </cfRule>
    <cfRule type="cellIs" dxfId="533" priority="209" stopIfTrue="1" operator="between">
      <formula>"---"</formula>
      <formula>"---"</formula>
    </cfRule>
    <cfRule type="cellIs" dxfId="532" priority="210" stopIfTrue="1" operator="between">
      <formula>"Quá"</formula>
      <formula>"Quá"</formula>
    </cfRule>
  </conditionalFormatting>
  <conditionalFormatting sqref="BG116">
    <cfRule type="cellIs" dxfId="531" priority="207" stopIfTrue="1" operator="between">
      <formula>4</formula>
      <formula>4</formula>
    </cfRule>
  </conditionalFormatting>
  <conditionalFormatting sqref="BF116">
    <cfRule type="expression" dxfId="530" priority="205" stopIfTrue="1">
      <formula>IF(BF116="Đến %",1,0)</formula>
    </cfRule>
    <cfRule type="expression" dxfId="529" priority="206" stopIfTrue="1">
      <formula>IF(BF116="Dừng %",1,0)</formula>
    </cfRule>
  </conditionalFormatting>
  <conditionalFormatting sqref="AA116">
    <cfRule type="cellIs" dxfId="528" priority="203" stopIfTrue="1" operator="between">
      <formula>"Đến $"</formula>
      <formula>"Đến $"</formula>
    </cfRule>
    <cfRule type="cellIs" dxfId="527" priority="204" stopIfTrue="1" operator="between">
      <formula>"Dừng $"</formula>
      <formula>"Dừng $"</formula>
    </cfRule>
  </conditionalFormatting>
  <conditionalFormatting sqref="BX116">
    <cfRule type="cellIs" dxfId="526" priority="202" stopIfTrue="1" operator="between">
      <formula>0</formula>
      <formula>13</formula>
    </cfRule>
  </conditionalFormatting>
  <conditionalFormatting sqref="EF116">
    <cfRule type="expression" dxfId="525" priority="201" stopIfTrue="1">
      <formula>IF(EF116="Sửa",1,0)</formula>
    </cfRule>
  </conditionalFormatting>
  <conditionalFormatting sqref="CV108">
    <cfRule type="cellIs" dxfId="524" priority="198" stopIfTrue="1" operator="between">
      <formula>"Hưu"</formula>
      <formula>"Hưu"</formula>
    </cfRule>
    <cfRule type="cellIs" dxfId="523" priority="199" stopIfTrue="1" operator="between">
      <formula>"---"</formula>
      <formula>"---"</formula>
    </cfRule>
    <cfRule type="cellIs" dxfId="522" priority="200" stopIfTrue="1" operator="between">
      <formula>"Quá"</formula>
      <formula>"Quá"</formula>
    </cfRule>
  </conditionalFormatting>
  <conditionalFormatting sqref="BG108">
    <cfRule type="cellIs" dxfId="521" priority="197" stopIfTrue="1" operator="between">
      <formula>4</formula>
      <formula>4</formula>
    </cfRule>
  </conditionalFormatting>
  <conditionalFormatting sqref="BF108">
    <cfRule type="expression" dxfId="520" priority="195" stopIfTrue="1">
      <formula>IF(BF108="Đến %",1,0)</formula>
    </cfRule>
    <cfRule type="expression" dxfId="519" priority="196" stopIfTrue="1">
      <formula>IF(BF108="Dừng %",1,0)</formula>
    </cfRule>
  </conditionalFormatting>
  <conditionalFormatting sqref="AA108">
    <cfRule type="cellIs" dxfId="518" priority="193" stopIfTrue="1" operator="between">
      <formula>"Đến $"</formula>
      <formula>"Đến $"</formula>
    </cfRule>
    <cfRule type="cellIs" dxfId="517" priority="194" stopIfTrue="1" operator="between">
      <formula>"Dừng $"</formula>
      <formula>"Dừng $"</formula>
    </cfRule>
  </conditionalFormatting>
  <conditionalFormatting sqref="EF108">
    <cfRule type="expression" dxfId="516" priority="192" stopIfTrue="1">
      <formula>IF(EF108="Sửa",1,0)</formula>
    </cfRule>
  </conditionalFormatting>
  <conditionalFormatting sqref="BX110">
    <cfRule type="cellIs" dxfId="515" priority="191" stopIfTrue="1" operator="between">
      <formula>0</formula>
      <formula>13</formula>
    </cfRule>
  </conditionalFormatting>
  <conditionalFormatting sqref="BI115 BI102:BK102 BJ112:BK116 BI111:BK111 BI96:BK96 BJ98:BK101 BJ107:BK110 BI85 BI105:BK106 BJ103:BK104 BJ85:BK94">
    <cfRule type="expression" dxfId="514" priority="190" stopIfTrue="1">
      <formula>IF(AND(BR85=0,OR($AA$4-BI85&gt;BR85,$AA$4-BI85&lt;BR85)),1,0)</formula>
    </cfRule>
  </conditionalFormatting>
  <conditionalFormatting sqref="CV115">
    <cfRule type="cellIs" dxfId="513" priority="187" stopIfTrue="1" operator="between">
      <formula>"Hưu"</formula>
      <formula>"Hưu"</formula>
    </cfRule>
    <cfRule type="cellIs" dxfId="512" priority="188" stopIfTrue="1" operator="between">
      <formula>"---"</formula>
      <formula>"---"</formula>
    </cfRule>
    <cfRule type="cellIs" dxfId="511" priority="189" stopIfTrue="1" operator="between">
      <formula>"Quá"</formula>
      <formula>"Quá"</formula>
    </cfRule>
  </conditionalFormatting>
  <conditionalFormatting sqref="BG115">
    <cfRule type="cellIs" dxfId="510" priority="186" stopIfTrue="1" operator="between">
      <formula>4</formula>
      <formula>4</formula>
    </cfRule>
  </conditionalFormatting>
  <conditionalFormatting sqref="BF115">
    <cfRule type="expression" dxfId="509" priority="184" stopIfTrue="1">
      <formula>IF(BF115="Đến %",1,0)</formula>
    </cfRule>
    <cfRule type="expression" dxfId="508" priority="185" stopIfTrue="1">
      <formula>IF(BF115="Dừng %",1,0)</formula>
    </cfRule>
  </conditionalFormatting>
  <conditionalFormatting sqref="AA115">
    <cfRule type="cellIs" dxfId="507" priority="182" stopIfTrue="1" operator="between">
      <formula>"Đến $"</formula>
      <formula>"Đến $"</formula>
    </cfRule>
    <cfRule type="cellIs" dxfId="506" priority="183" stopIfTrue="1" operator="between">
      <formula>"Dừng $"</formula>
      <formula>"Dừng $"</formula>
    </cfRule>
  </conditionalFormatting>
  <conditionalFormatting sqref="BX115">
    <cfRule type="cellIs" dxfId="505" priority="181" stopIfTrue="1" operator="between">
      <formula>0</formula>
      <formula>13</formula>
    </cfRule>
  </conditionalFormatting>
  <conditionalFormatting sqref="EF115">
    <cfRule type="expression" dxfId="504" priority="180" stopIfTrue="1">
      <formula>IF(EF115="Sửa",1,0)</formula>
    </cfRule>
  </conditionalFormatting>
  <conditionalFormatting sqref="CV102">
    <cfRule type="cellIs" dxfId="503" priority="177" stopIfTrue="1" operator="between">
      <formula>"Hưu"</formula>
      <formula>"Hưu"</formula>
    </cfRule>
    <cfRule type="cellIs" dxfId="502" priority="178" stopIfTrue="1" operator="between">
      <formula>"---"</formula>
      <formula>"---"</formula>
    </cfRule>
    <cfRule type="cellIs" dxfId="501" priority="179" stopIfTrue="1" operator="between">
      <formula>"Quá"</formula>
      <formula>"Quá"</formula>
    </cfRule>
  </conditionalFormatting>
  <conditionalFormatting sqref="BG102">
    <cfRule type="cellIs" dxfId="500" priority="176" stopIfTrue="1" operator="between">
      <formula>4</formula>
      <formula>4</formula>
    </cfRule>
  </conditionalFormatting>
  <conditionalFormatting sqref="BF102">
    <cfRule type="expression" dxfId="499" priority="174" stopIfTrue="1">
      <formula>IF(BF102="Đến %",1,0)</formula>
    </cfRule>
    <cfRule type="expression" dxfId="498" priority="175" stopIfTrue="1">
      <formula>IF(BF102="Dừng %",1,0)</formula>
    </cfRule>
  </conditionalFormatting>
  <conditionalFormatting sqref="AA102">
    <cfRule type="cellIs" dxfId="497" priority="172" stopIfTrue="1" operator="between">
      <formula>"Đến $"</formula>
      <formula>"Đến $"</formula>
    </cfRule>
    <cfRule type="cellIs" dxfId="496" priority="173" stopIfTrue="1" operator="between">
      <formula>"Dừng $"</formula>
      <formula>"Dừng $"</formula>
    </cfRule>
  </conditionalFormatting>
  <conditionalFormatting sqref="EF102">
    <cfRule type="expression" dxfId="495" priority="171" stopIfTrue="1">
      <formula>IF(EF102="Sửa",1,0)</formula>
    </cfRule>
  </conditionalFormatting>
  <conditionalFormatting sqref="BR96 BR98:BR116 BR85:BR94">
    <cfRule type="expression" dxfId="494" priority="169" stopIfTrue="1">
      <formula>IF(AND(BO85=0,OR($AA$4-BR85&gt;BO85,$AA$4-BR85&lt;BO85)),1,0)</formula>
    </cfRule>
  </conditionalFormatting>
  <conditionalFormatting sqref="C96:C116 C85:C94">
    <cfRule type="expression" dxfId="493" priority="166" stopIfTrue="1">
      <formula>IF(CY85="Hưu",1,0)</formula>
    </cfRule>
    <cfRule type="expression" dxfId="492" priority="167" stopIfTrue="1">
      <formula>IF(CY85="Quá",1,0)</formula>
    </cfRule>
    <cfRule type="expression" dxfId="491" priority="168" stopIfTrue="1">
      <formula>IF(BD85="Lùi",1,0)</formula>
    </cfRule>
  </conditionalFormatting>
  <conditionalFormatting sqref="A96:A116 A85:A94">
    <cfRule type="expression" dxfId="490" priority="163" stopIfTrue="1">
      <formula>IF(CW85="Hưu",1,0)</formula>
    </cfRule>
    <cfRule type="expression" dxfId="489" priority="164" stopIfTrue="1">
      <formula>IF(CW85="Quá",1,0)</formula>
    </cfRule>
    <cfRule type="expression" dxfId="488" priority="165" stopIfTrue="1">
      <formula>IF(AM85="Lùi",1,0)</formula>
    </cfRule>
  </conditionalFormatting>
  <conditionalFormatting sqref="CV103">
    <cfRule type="cellIs" dxfId="487" priority="160" stopIfTrue="1" operator="between">
      <formula>"Hưu"</formula>
      <formula>"Hưu"</formula>
    </cfRule>
    <cfRule type="cellIs" dxfId="486" priority="161" stopIfTrue="1" operator="between">
      <formula>"---"</formula>
      <formula>"---"</formula>
    </cfRule>
    <cfRule type="cellIs" dxfId="485" priority="162" stopIfTrue="1" operator="between">
      <formula>"Quá"</formula>
      <formula>"Quá"</formula>
    </cfRule>
  </conditionalFormatting>
  <conditionalFormatting sqref="BG103">
    <cfRule type="cellIs" dxfId="484" priority="159" stopIfTrue="1" operator="between">
      <formula>4</formula>
      <formula>4</formula>
    </cfRule>
  </conditionalFormatting>
  <conditionalFormatting sqref="BF103">
    <cfRule type="expression" dxfId="483" priority="157" stopIfTrue="1">
      <formula>IF(BF103="Đến %",1,0)</formula>
    </cfRule>
    <cfRule type="expression" dxfId="482" priority="158" stopIfTrue="1">
      <formula>IF(BF103="Dừng %",1,0)</formula>
    </cfRule>
  </conditionalFormatting>
  <conditionalFormatting sqref="AA103">
    <cfRule type="cellIs" dxfId="481" priority="155" stopIfTrue="1" operator="between">
      <formula>"Đến $"</formula>
      <formula>"Đến $"</formula>
    </cfRule>
    <cfRule type="cellIs" dxfId="480" priority="156" stopIfTrue="1" operator="between">
      <formula>"Dừng $"</formula>
      <formula>"Dừng $"</formula>
    </cfRule>
  </conditionalFormatting>
  <conditionalFormatting sqref="EF103">
    <cfRule type="expression" dxfId="479" priority="154" stopIfTrue="1">
      <formula>IF(EF103="Sửa",1,0)</formula>
    </cfRule>
  </conditionalFormatting>
  <conditionalFormatting sqref="AG96:AG97 AG100:AG102 AG85:AG86 AG92:AG93">
    <cfRule type="cellIs" dxfId="478" priority="152" stopIfTrue="1" operator="between">
      <formula>"%"</formula>
      <formula>"%"</formula>
    </cfRule>
    <cfRule type="expression" dxfId="477" priority="153" stopIfTrue="1">
      <formula>IF(AF85=AQ85,1,0)</formula>
    </cfRule>
  </conditionalFormatting>
  <conditionalFormatting sqref="AG87:AG91">
    <cfRule type="cellIs" dxfId="476" priority="150" stopIfTrue="1" operator="between">
      <formula>"%"</formula>
      <formula>"%"</formula>
    </cfRule>
    <cfRule type="expression" dxfId="475" priority="151" stopIfTrue="1">
      <formula>IF(AF87=AR87,1,0)</formula>
    </cfRule>
  </conditionalFormatting>
  <conditionalFormatting sqref="AA95">
    <cfRule type="cellIs" dxfId="474" priority="148" stopIfTrue="1" operator="between">
      <formula>"Đến $"</formula>
      <formula>"Đến $"</formula>
    </cfRule>
    <cfRule type="cellIs" dxfId="473" priority="149" stopIfTrue="1" operator="between">
      <formula>"Dừng $"</formula>
      <formula>"Dừng $"</formula>
    </cfRule>
  </conditionalFormatting>
  <conditionalFormatting sqref="BF95">
    <cfRule type="expression" dxfId="472" priority="146" stopIfTrue="1">
      <formula>IF(BF95="Đến %",1,0)</formula>
    </cfRule>
    <cfRule type="expression" dxfId="471" priority="147" stopIfTrue="1">
      <formula>IF(BF95="Dừng %",1,0)</formula>
    </cfRule>
  </conditionalFormatting>
  <conditionalFormatting sqref="BT97">
    <cfRule type="expression" dxfId="470" priority="145" stopIfTrue="1">
      <formula>IF(AND(BY97=0,OR($AA$4-BT97&gt;BY97,$AA$4-BT97&lt;BY97)),1,0)</formula>
    </cfRule>
  </conditionalFormatting>
  <conditionalFormatting sqref="BR97">
    <cfRule type="expression" dxfId="469" priority="144" stopIfTrue="1">
      <formula>IF(AND(BO97=0,OR($AA$4-BR97&gt;BO97,$AA$4-BR97&lt;BO97)),1,0)</formula>
    </cfRule>
  </conditionalFormatting>
  <conditionalFormatting sqref="BK97">
    <cfRule type="expression" dxfId="468" priority="143" stopIfTrue="1">
      <formula>IF(AND(BP97=0,OR($AA$4-BK97&gt;BP97,$AA$4-BK97&lt;BP97)),1,0)</formula>
    </cfRule>
  </conditionalFormatting>
  <conditionalFormatting sqref="BI97">
    <cfRule type="expression" dxfId="467" priority="142" stopIfTrue="1">
      <formula>IF(AND(BF97=0,OR($AA$4-BI97&gt;BF97,$AA$4-BI97&lt;BF97)),1,0)</formula>
    </cfRule>
  </conditionalFormatting>
  <conditionalFormatting sqref="BR15:BR40">
    <cfRule type="expression" dxfId="466" priority="38" stopIfTrue="1">
      <formula>IF(AND(#REF!&gt;0,#REF!&lt;5),1,0)</formula>
    </cfRule>
    <cfRule type="expression" dxfId="465" priority="39" stopIfTrue="1">
      <formula>IF(#REF!=5,1,0)</formula>
    </cfRule>
    <cfRule type="expression" dxfId="464" priority="40" stopIfTrue="1">
      <formula>IF(#REF!&gt;5,1,0)</formula>
    </cfRule>
  </conditionalFormatting>
  <conditionalFormatting sqref="A15:A40">
    <cfRule type="expression" dxfId="463" priority="36" stopIfTrue="1">
      <formula>IF(#REF!="Hưu",1,0)</formula>
    </cfRule>
    <cfRule type="expression" dxfId="462" priority="37" stopIfTrue="1">
      <formula>IF(#REF!="Quá",1,0)</formula>
    </cfRule>
  </conditionalFormatting>
  <conditionalFormatting sqref="BE15:BE40">
    <cfRule type="expression" dxfId="461" priority="34" stopIfTrue="1">
      <formula>IF(#REF!&gt;0,1,0)</formula>
    </cfRule>
    <cfRule type="expression" dxfId="460" priority="35" stopIfTrue="1">
      <formula>IF(#REF!=0,1,0)</formula>
    </cfRule>
  </conditionalFormatting>
  <conditionalFormatting sqref="BB15:BB40">
    <cfRule type="expression" dxfId="459" priority="33" stopIfTrue="1">
      <formula>IF(OR(#REF!="Lương Sớm Hưu",#REF!="Nâng Ngạch Hưu"),1,0)</formula>
    </cfRule>
  </conditionalFormatting>
  <conditionalFormatting sqref="BI15:BI40 DJ15:DJ40">
    <cfRule type="expression" dxfId="458" priority="30" stopIfTrue="1">
      <formula>IF(#REF!="Nâg Ngạch sau TB",1,0)</formula>
    </cfRule>
    <cfRule type="expression" dxfId="457" priority="31" stopIfTrue="1">
      <formula>IF(#REF!="Nâg Lươg Sớm sau TB",1,0)</formula>
    </cfRule>
    <cfRule type="expression" dxfId="456" priority="32" stopIfTrue="1">
      <formula>IF(#REF!="Nâg PC TNVK cùng QĐ",1,0)</formula>
    </cfRule>
  </conditionalFormatting>
  <conditionalFormatting sqref="DE15:DE40">
    <cfRule type="expression" dxfId="455" priority="28" stopIfTrue="1">
      <formula>IF(#REF!&gt;0,1,0)</formula>
    </cfRule>
    <cfRule type="expression" dxfId="454" priority="29" stopIfTrue="1">
      <formula>IF(#REF!=0,1,0)</formula>
    </cfRule>
  </conditionalFormatting>
  <conditionalFormatting sqref="DB15:DB40">
    <cfRule type="expression" dxfId="453" priority="27" stopIfTrue="1">
      <formula>IF(OR(#REF!="Lương Sớm Hưu",#REF!="Nâng Ngạch Hưu"),1,0)</formula>
    </cfRule>
  </conditionalFormatting>
  <pageMargins left="0.43307086614173229" right="0.27559055118110237" top="0.19685039370078741" bottom="0.15748031496062992" header="0.15748031496062992" footer="0.15748031496062992"/>
  <pageSetup paperSize="9" orientation="landscape" r:id="rId1"/>
  <headerFooter alignWithMargins="0">
    <oddHeader>&amp;R&amp;"Arial,Bold"&amp;14&amp;UBIỂU 1- TB</oddHead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54" stopIfTrue="1" id="{2544E7D0-F883-4384-B076-E90E7355EE25}">
            <xm:f>IF('C:\BẢNG LƯƠNG, % PCNG\$$$$$ - %%%%\@@@@. Luong + PCTN NG\1. Nâng (Lg + PC NG)\Luong, PCTN 2020\Lương+PC tháng 12.2020\[@. Lg + PC den T12 - 2020.xlsx]@.DL-New '!#REF!="Hưu",1,0)</xm:f>
            <x14:dxf>
              <font>
                <b/>
                <i val="0"/>
                <condense val="0"/>
                <extend val="0"/>
                <color indexed="9"/>
              </font>
              <fill>
                <patternFill>
                  <bgColor indexed="16"/>
                </patternFill>
              </fill>
            </x14:dxf>
          </x14:cfRule>
          <x14:cfRule type="expression" priority="255" stopIfTrue="1" id="{4C4651B4-A859-4F1B-8A84-80E0591C8FC1}">
            <xm:f>IF('C:\BẢNG LƯƠNG, % PCNG\$$$$$ - %%%%\@@@@. Luong + PCTN NG\1. Nâng (Lg + PC NG)\Luong, PCTN 2020\Lương+PC tháng 12.2020\[@. Lg + PC den T12 - 2020.xlsx]@.DL-New '!#REF!="Quá",1,0)</xm:f>
            <x14:dxf>
              <font>
                <b/>
                <i val="0"/>
                <condense val="0"/>
                <extend val="0"/>
                <color indexed="34"/>
              </font>
              <fill>
                <patternFill>
                  <bgColor indexed="23"/>
                </patternFill>
              </fill>
            </x14:dxf>
          </x14:cfRule>
          <x14:cfRule type="expression" priority="256" stopIfTrue="1" id="{D30833DC-1345-4D14-AB26-DFE05ABA5AD4}">
            <xm:f>IF('C:\BẢNG LƯƠNG, % PCNG\$$$$$ - %%%%\@@@@. Luong + PCTN NG\1. Nâng (Lg + PC NG)\Luong, PCTN 2020\Lương+PC tháng 12.2020\[@. Lg + PC den T12 - 2020.xlsx]@.DL-New '!#REF!="Lùi",1,0)</xm:f>
            <x14:dxf>
              <font>
                <b/>
                <i val="0"/>
                <condense val="0"/>
                <extend val="0"/>
                <color indexed="34"/>
              </font>
              <fill>
                <patternFill>
                  <bgColor indexed="10"/>
                </patternFill>
              </fill>
            </x14:dxf>
          </x14:cfRule>
          <xm:sqref>A180</xm:sqref>
        </x14:conditionalFormatting>
        <x14:conditionalFormatting xmlns:xm="http://schemas.microsoft.com/office/excel/2006/main">
          <x14:cfRule type="expression" priority="252" stopIfTrue="1" id="{B8F9124A-ECD0-4D15-8E02-C74EC1DA06C1}">
            <xm:f>IF(AND('C:\BẢNG LƯƠNG, % PCNG\$$$$$ - %%%%\@@@@. Luong + PCTN NG\1. Nâng (Lg + PC NG)\Luong, PCTN 2020\Lương+PC tháng 12.2020\[@. Lg + PC den T12 - 2020.xlsx]@.DL-New '!#REF!&gt;'C:\BẢNG LƯƠNG, % PCNG\$$$$$ - %%%%\@@@@. Luong + PCTN NG\1. Nâng (Lg + PC NG)\Luong, PCTN 2020\Lương+PC tháng 12.2020\[@. Lg + PC den T12 - 2020.xlsx]@.DL-New '!#REF!,'C:\BẢNG LƯƠNG, % PCNG\$$$$$ - %%%%\@@@@. Luong + PCTN NG\1. Nâng (Lg + PC NG)\Luong, PCTN 2020\Lương+PC tháng 12.2020\[@. Lg + PC den T12 - 2020.xlsx]@.DL-New '!#REF!&gt;0),1,0)</xm:f>
            <x14:dxf>
              <font>
                <b/>
                <i val="0"/>
                <condense val="0"/>
                <extend val="0"/>
              </font>
              <fill>
                <patternFill>
                  <bgColor indexed="9"/>
                </patternFill>
              </fill>
            </x14:dxf>
          </x14:cfRule>
          <x14:cfRule type="expression" priority="253" stopIfTrue="1" id="{49DED39C-8A4C-4F90-869B-34AFD58BB5F3}">
            <xm:f>IF('C:\BẢNG LƯƠNG, % PCNG\$$$$$ - %%%%\@@@@. Luong + PCTN NG\1. Nâng (Lg + PC NG)\Luong, PCTN 2020\Lương+PC tháng 12.2020\[@. Lg + PC den T12 - 2020.xlsx]@.DL-New '!#REF!&lt;'C:\BẢNG LƯƠNG, % PCNG\$$$$$ - %%%%\@@@@. Luong + PCTN NG\1. Nâng (Lg + PC NG)\Luong, PCTN 2020\Lương+PC tháng 12.2020\[@. Lg + PC den T12 - 2020.xlsx]@.DL-New '!#REF!,1,0)</xm:f>
            <x14:dxf>
              <font>
                <b/>
                <i val="0"/>
                <condense val="0"/>
                <extend val="0"/>
                <color indexed="13"/>
              </font>
              <fill>
                <patternFill>
                  <bgColor indexed="10"/>
                </patternFill>
              </fill>
            </x14:dxf>
          </x14:cfRule>
          <xm:sqref>AB180</xm:sqref>
        </x14:conditionalFormatting>
        <x14:conditionalFormatting xmlns:xm="http://schemas.microsoft.com/office/excel/2006/main">
          <x14:cfRule type="expression" priority="250" stopIfTrue="1" id="{3168AD80-69A7-43B0-A743-43ECE262AF50}">
            <xm:f>IF('C:\BẢNG LƯƠNG, % PCNG\$$$$$ - %%%%\@@@@. Luong + PCTN NG\1. Nâng (Lg + PC NG)\Luong, PCTN 2020\Lương+PC tháng 12.2020\[@. Lg + PC den T12 - 2020.xlsx]@.DL-New '!#REF!="Hưu",1,0)</xm:f>
            <x14:dxf>
              <font>
                <b/>
                <i val="0"/>
                <condense val="0"/>
                <extend val="0"/>
                <color indexed="9"/>
              </font>
              <fill>
                <patternFill>
                  <bgColor indexed="16"/>
                </patternFill>
              </fill>
            </x14:dxf>
          </x14:cfRule>
          <x14:cfRule type="expression" priority="251" stopIfTrue="1" id="{579A713E-6C42-4A80-A15D-468651940EBD}">
            <xm:f>IF('C:\BẢNG LƯƠNG, % PCNG\$$$$$ - %%%%\@@@@. Luong + PCTN NG\1. Nâng (Lg + PC NG)\Luong, PCTN 2020\Lương+PC tháng 12.2020\[@. Lg + PC den T12 - 2020.xlsx]@.DL-New '!#REF!="Quá",1,0)</xm:f>
            <x14:dxf>
              <font>
                <b/>
                <i val="0"/>
                <condense val="0"/>
                <extend val="0"/>
                <color indexed="34"/>
              </font>
              <fill>
                <patternFill>
                  <bgColor indexed="23"/>
                </patternFill>
              </fill>
            </x14:dxf>
          </x14:cfRule>
          <xm:sqref>E180 L180:S180</xm:sqref>
        </x14:conditionalFormatting>
        <x14:conditionalFormatting xmlns:xm="http://schemas.microsoft.com/office/excel/2006/main">
          <x14:cfRule type="expression" priority="248" stopIfTrue="1" id="{1D470BB8-A5F4-44D7-9E39-79EC9FE0A39C}">
            <xm:f>IF('C:\BẢNG LƯƠNG, % PCNG\$$$$$ - %%%%\@@@@. Luong + PCTN NG\1. Nâng (Lg + PC NG)\Luong, PCTN 2020\Lương+PC tháng 12.2020\[@. Lg + PC den T12 - 2020.xlsx]@.DL-New '!#REF!="Hưu",1,0)</xm:f>
            <x14:dxf>
              <font>
                <b/>
                <i val="0"/>
                <condense val="0"/>
                <extend val="0"/>
                <color indexed="9"/>
              </font>
              <fill>
                <patternFill>
                  <bgColor indexed="16"/>
                </patternFill>
              </fill>
            </x14:dxf>
          </x14:cfRule>
          <x14:cfRule type="expression" priority="249" stopIfTrue="1" id="{7F8E6956-9741-42F4-9357-B298DF319DC7}">
            <xm:f>IF('C:\BẢNG LƯƠNG, % PCNG\$$$$$ - %%%%\@@@@. Luong + PCTN NG\1. Nâng (Lg + PC NG)\Luong, PCTN 2020\Lương+PC tháng 12.2020\[@. Lg + PC den T12 - 2020.xlsx]@.DL-New '!#REF!="Quá",1,0)</xm:f>
            <x14:dxf>
              <font>
                <b/>
                <i val="0"/>
                <condense val="0"/>
                <extend val="0"/>
                <color indexed="34"/>
              </font>
              <fill>
                <patternFill>
                  <bgColor indexed="23"/>
                </patternFill>
              </fill>
            </x14:dxf>
          </x14:cfRule>
          <xm:sqref>DV180</xm:sqref>
        </x14:conditionalFormatting>
        <x14:conditionalFormatting xmlns:xm="http://schemas.microsoft.com/office/excel/2006/main">
          <x14:cfRule type="expression" priority="246" stopIfTrue="1" id="{0ABED03E-B66E-4BC4-A035-F8FE0D67EBA7}">
            <xm:f>IF('C:\BẢNG LƯƠNG, % PCNG\$$$$$ - %%%%\@@@@. Luong + PCTN NG\1. Nâng (Lg + PC NG)\Luong, PCTN 2020\Lương+PC tháng 12.2020\[@. Lg + PC den T12 - 2020.xlsx]@.DL-New '!#REF!="Đến %",1,0)</xm:f>
            <x14:dxf>
              <font>
                <b/>
                <i val="0"/>
                <condense val="0"/>
                <extend val="0"/>
                <color indexed="9"/>
              </font>
              <fill>
                <patternFill>
                  <bgColor indexed="17"/>
                </patternFill>
              </fill>
            </x14:dxf>
          </x14:cfRule>
          <x14:cfRule type="expression" priority="247" stopIfTrue="1" id="{C8CAAA65-EB35-4D29-A0E8-2228E2BFE973}">
            <xm:f>IF('C:\BẢNG LƯƠNG, % PCNG\$$$$$ - %%%%\@@@@. Luong + PCTN NG\1. Nâng (Lg + PC NG)\Luong, PCTN 2020\Lương+PC tháng 12.2020\[@. Lg + PC den T12 - 2020.xlsx]@.DL-New '!#REF!="Dừng %",1,0)</xm:f>
            <x14:dxf>
              <font>
                <b/>
                <i val="0"/>
                <condense val="0"/>
                <extend val="0"/>
                <color indexed="9"/>
              </font>
              <fill>
                <patternFill>
                  <bgColor indexed="19"/>
                </patternFill>
              </fill>
            </x14:dxf>
          </x14:cfRule>
          <xm:sqref>BF180</xm:sqref>
        </x14:conditionalFormatting>
        <x14:conditionalFormatting xmlns:xm="http://schemas.microsoft.com/office/excel/2006/main">
          <x14:cfRule type="expression" priority="245" stopIfTrue="1" id="{1CB400F4-1C61-4191-8020-A00C0DDA8192}">
            <xm:f>IF('C:\BẢNG LƯƠNG, % PCNG\$$$$$ - %%%%\@@@@. Luong + PCTN NG\1. Nâng (Lg + PC NG)\Luong, PCTN 2020\Lương+PC tháng 12.2020\[@. Lg + PC den T12 - 2020.xlsx]@.DL-New '!#REF!="Sửa",1,0)</xm:f>
            <x14:dxf>
              <font>
                <b/>
                <i val="0"/>
                <color rgb="FFFF0000"/>
              </font>
              <fill>
                <patternFill>
                  <bgColor rgb="FF00B0F0"/>
                </patternFill>
              </fill>
            </x14:dxf>
          </x14:cfRule>
          <xm:sqref>EF180</xm:sqref>
        </x14:conditionalFormatting>
        <x14:conditionalFormatting xmlns:xm="http://schemas.microsoft.com/office/excel/2006/main">
          <x14:cfRule type="expression" priority="244" stopIfTrue="1" id="{71BB95E0-99A5-4432-9ED6-A60A065F0C8A}">
            <xm:f>IF(AND('C:\BẢNG LƯƠNG, % PCNG\$$$$$ - %%%%\@@@@. Luong + PCTN NG\1. Nâng (Lg + PC NG)\Luong, PCTN 2020\Lương+PC tháng 12.2020\[@. Lg + PC den T12 - 2020.xlsx]@.DL-New '!#REF!=0,OR('C:\BẢNG LƯƠNG, % PCNG\$$$$$ - %%%%\@@@@. Luong + PCTN NG\1. Nâng (Lg + PC NG)\Luong, PCTN 2020\Lương+PC tháng 12.2020\[@. Lg + PC den T12 - 2020.xlsx]@.DL-New '!#REF!-'C:\BẢNG LƯƠNG, % PCNG\$$$$$ - %%%%\@@@@. Luong + PCTN NG\1. Nâng (Lg + PC NG)\Luong, PCTN 2020\Lương+PC tháng 12.2020\[@. Lg + PC den T12 - 2020.xlsx]@.DL-New '!#REF!&gt;'C:\BẢNG LƯƠNG, % PCNG\$$$$$ - %%%%\@@@@. Luong + PCTN NG\1. Nâng (Lg + PC NG)\Luong, PCTN 2020\Lương+PC tháng 12.2020\[@. Lg + PC den T12 - 2020.xlsx]@.DL-New '!#REF!,'C:\BẢNG LƯƠNG, % PCNG\$$$$$ - %%%%\@@@@. Luong + PCTN NG\1. Nâng (Lg + PC NG)\Luong, PCTN 2020\Lương+PC tháng 12.2020\[@. Lg + PC den T12 - 2020.xlsx]@.DL-New '!#REF!-'C:\BẢNG LƯƠNG, % PCNG\$$$$$ - %%%%\@@@@. Luong + PCTN NG\1. Nâng (Lg + PC NG)\Luong, PCTN 2020\Lương+PC tháng 12.2020\[@. Lg + PC den T12 - 2020.xlsx]@.DL-New '!#REF!&lt;'C:\BẢNG LƯƠNG, % PCNG\$$$$$ - %%%%\@@@@. Luong + PCTN NG\1. Nâng (Lg + PC NG)\Luong, PCTN 2020\Lương+PC tháng 12.2020\[@. Lg + PC den T12 - 2020.xlsx]@.DL-New '!#REF!)),1,0)</xm:f>
            <x14:dxf>
              <font>
                <b/>
                <i val="0"/>
                <color rgb="FFFFFF00"/>
              </font>
              <fill>
                <patternFill>
                  <bgColor rgb="FFFF0000"/>
                </patternFill>
              </fill>
            </x14:dxf>
          </x14:cfRule>
          <xm:sqref>BT180</xm:sqref>
        </x14:conditionalFormatting>
        <x14:conditionalFormatting xmlns:xm="http://schemas.microsoft.com/office/excel/2006/main">
          <x14:cfRule type="expression" priority="243" stopIfTrue="1" id="{EE29C37B-7122-4213-A0DD-884B137EA731}">
            <xm:f>IF(AND('C:\BẢNG LƯƠNG, % PCNG\$$$$$ - %%%%\@@@@. Luong + PCTN NG\1. Nâng (Lg + PC NG)\Luong, PCTN 2020\Lương+PC tháng 12.2020\[@. Lg + PC den T12 - 2020.xlsx]@.DL-New '!#REF!=0,'C:\BẢNG LƯƠNG, % PCNG\$$$$$ - %%%%\@@@@. Luong + PCTN NG\1. Nâng (Lg + PC NG)\Luong, PCTN 2020\Lương+PC tháng 12.2020\[@. Lg + PC den T12 - 2020.xlsx]@.DL-New '!#REF!&gt;0),1,0)</xm:f>
            <x14:dxf>
              <font>
                <b/>
                <i val="0"/>
                <color rgb="FFFFFF00"/>
              </font>
              <fill>
                <patternFill>
                  <bgColor rgb="FFFF0000"/>
                </patternFill>
              </fill>
            </x14:dxf>
          </x14:cfRule>
          <xm:sqref>BN180</xm:sqref>
        </x14:conditionalFormatting>
        <x14:conditionalFormatting xmlns:xm="http://schemas.microsoft.com/office/excel/2006/main">
          <x14:cfRule type="expression" priority="242" stopIfTrue="1" id="{053BAA46-80BB-42B9-B689-B4E328244756}">
            <xm:f>IF(AND('C:\BẢNG LƯƠNG, % PCNG\$$$$$ - %%%%\@@@@. Luong + PCTN NG\1. Nâng (Lg + PC NG)\Luong, PCTN 2020\Lương+PC tháng 12.2020\[@. Lg + PC den T12 - 2020.xlsx]@.DL-New '!#REF!=0,OR('C:\BẢNG LƯƠNG, % PCNG\$$$$$ - %%%%\@@@@. Luong + PCTN NG\1. Nâng (Lg + PC NG)\Luong, PCTN 2020\Lương+PC tháng 12.2020\[@. Lg + PC den T12 - 2020.xlsx]@.DL-New '!#REF!-'C:\BẢNG LƯƠNG, % PCNG\$$$$$ - %%%%\@@@@. Luong + PCTN NG\1. Nâng (Lg + PC NG)\Luong, PCTN 2020\Lương+PC tháng 12.2020\[@. Lg + PC den T12 - 2020.xlsx]@.DL-New '!#REF!&gt;'C:\BẢNG LƯƠNG, % PCNG\$$$$$ - %%%%\@@@@. Luong + PCTN NG\1. Nâng (Lg + PC NG)\Luong, PCTN 2020\Lương+PC tháng 12.2020\[@. Lg + PC den T12 - 2020.xlsx]@.DL-New '!#REF!,'C:\BẢNG LƯƠNG, % PCNG\$$$$$ - %%%%\@@@@. Luong + PCTN NG\1. Nâng (Lg + PC NG)\Luong, PCTN 2020\Lương+PC tháng 12.2020\[@. Lg + PC den T12 - 2020.xlsx]@.DL-New '!#REF!-'C:\BẢNG LƯƠNG, % PCNG\$$$$$ - %%%%\@@@@. Luong + PCTN NG\1. Nâng (Lg + PC NG)\Luong, PCTN 2020\Lương+PC tháng 12.2020\[@. Lg + PC den T12 - 2020.xlsx]@.DL-New '!#REF!&lt;'C:\BẢNG LƯƠNG, % PCNG\$$$$$ - %%%%\@@@@. Luong + PCTN NG\1. Nâng (Lg + PC NG)\Luong, PCTN 2020\Lương+PC tháng 12.2020\[@. Lg + PC den T12 - 2020.xlsx]@.DL-New '!#REF!)),1,0)</xm:f>
            <x14:dxf>
              <font>
                <b/>
                <i val="0"/>
                <color rgb="FFFFFF00"/>
              </font>
              <fill>
                <patternFill>
                  <bgColor rgb="FFFF0000"/>
                </patternFill>
              </fill>
            </x14:dxf>
          </x14:cfRule>
          <xm:sqref>BI180:BK180</xm:sqref>
        </x14:conditionalFormatting>
        <x14:conditionalFormatting xmlns:xm="http://schemas.microsoft.com/office/excel/2006/main">
          <x14:cfRule type="expression" priority="241" stopIfTrue="1" id="{5219CE82-C128-4755-9723-08552AF5A914}">
            <xm:f>IF(AND('C:\BẢNG LƯƠNG, % PCNG\$$$$$ - %%%%\@@@@. Luong + PCTN NG\1. Nâng (Lg + PC NG)\Luong, PCTN 2020\Lương+PC tháng 12.2020\[@. Lg + PC den T12 - 2020.xlsx]@.DL-New '!#REF!=0,OR('C:\BẢNG LƯƠNG, % PCNG\$$$$$ - %%%%\@@@@. Luong + PCTN NG\1. Nâng (Lg + PC NG)\Luong, PCTN 2020\Lương+PC tháng 12.2020\[@. Lg + PC den T12 - 2020.xlsx]@.DL-New '!#REF!-'C:\BẢNG LƯƠNG, % PCNG\$$$$$ - %%%%\@@@@. Luong + PCTN NG\1. Nâng (Lg + PC NG)\Luong, PCTN 2020\Lương+PC tháng 12.2020\[@. Lg + PC den T12 - 2020.xlsx]@.DL-New '!#REF!&gt;'C:\BẢNG LƯƠNG, % PCNG\$$$$$ - %%%%\@@@@. Luong + PCTN NG\1. Nâng (Lg + PC NG)\Luong, PCTN 2020\Lương+PC tháng 12.2020\[@. Lg + PC den T12 - 2020.xlsx]@.DL-New '!#REF!,'C:\BẢNG LƯƠNG, % PCNG\$$$$$ - %%%%\@@@@. Luong + PCTN NG\1. Nâng (Lg + PC NG)\Luong, PCTN 2020\Lương+PC tháng 12.2020\[@. Lg + PC den T12 - 2020.xlsx]@.DL-New '!#REF!-'C:\BẢNG LƯƠNG, % PCNG\$$$$$ - %%%%\@@@@. Luong + PCTN NG\1. Nâng (Lg + PC NG)\Luong, PCTN 2020\Lương+PC tháng 12.2020\[@. Lg + PC den T12 - 2020.xlsx]@.DL-New '!#REF!&lt;'C:\BẢNG LƯƠNG, % PCNG\$$$$$ - %%%%\@@@@. Luong + PCTN NG\1. Nâng (Lg + PC NG)\Luong, PCTN 2020\Lương+PC tháng 12.2020\[@. Lg + PC den T12 - 2020.xlsx]@.DL-New '!#REF!)),1,0)</xm:f>
            <x14:dxf>
              <font>
                <b/>
                <i val="0"/>
                <color rgb="FFFFFF00"/>
              </font>
              <fill>
                <patternFill>
                  <bgColor rgb="FFFF0000"/>
                </patternFill>
              </fill>
            </x14:dxf>
          </x14:cfRule>
          <xm:sqref>BR180</xm:sqref>
        </x14:conditionalFormatting>
        <x14:conditionalFormatting xmlns:xm="http://schemas.microsoft.com/office/excel/2006/main">
          <x14:cfRule type="expression" priority="238" stopIfTrue="1" id="{57FFD88C-C422-4320-A770-5C8313A8A4B1}">
            <xm:f>IF('C:\BẢNG LƯƠNG, % PCNG\$$$$$ - %%%%\@@@@. Luong + PCTN NG\1. Nâng (Lg + PC NG)\Luong, PCTN 2020\Lương+PC tháng 12.2020\[@. Lg + PC den T12 - 2020.xlsx]@.DL-New '!#REF!="Hưu",1,0)</xm:f>
            <x14:dxf>
              <font>
                <b/>
                <i val="0"/>
                <condense val="0"/>
                <extend val="0"/>
                <color indexed="9"/>
              </font>
              <fill>
                <patternFill>
                  <bgColor indexed="16"/>
                </patternFill>
              </fill>
            </x14:dxf>
          </x14:cfRule>
          <x14:cfRule type="expression" priority="239" stopIfTrue="1" id="{D9BCFA22-C5F2-4E42-88EC-4F4DA051B3CA}">
            <xm:f>IF('C:\BẢNG LƯƠNG, % PCNG\$$$$$ - %%%%\@@@@. Luong + PCTN NG\1. Nâng (Lg + PC NG)\Luong, PCTN 2020\Lương+PC tháng 12.2020\[@. Lg + PC den T12 - 2020.xlsx]@.DL-New '!#REF!="Quá",1,0)</xm:f>
            <x14:dxf>
              <font>
                <b/>
                <i val="0"/>
                <condense val="0"/>
                <extend val="0"/>
                <color indexed="34"/>
              </font>
              <fill>
                <patternFill>
                  <bgColor indexed="23"/>
                </patternFill>
              </fill>
            </x14:dxf>
          </x14:cfRule>
          <x14:cfRule type="expression" priority="240" stopIfTrue="1" id="{EF3180E0-1A01-45D7-89B1-A59025BB4CC4}">
            <xm:f>IF('C:\BẢNG LƯƠNG, % PCNG\$$$$$ - %%%%\@@@@. Luong + PCTN NG\1. Nâng (Lg + PC NG)\Luong, PCTN 2020\Lương+PC tháng 12.2020\[@. Lg + PC den T12 - 2020.xlsx]@.DL-New '!#REF!="Lùi",1,0)</xm:f>
            <x14:dxf>
              <font>
                <b/>
                <i val="0"/>
                <condense val="0"/>
                <extend val="0"/>
                <color indexed="34"/>
              </font>
              <fill>
                <patternFill>
                  <bgColor indexed="10"/>
                </patternFill>
              </fill>
            </x14:dxf>
          </x14:cfRule>
          <xm:sqref>C180</xm:sqref>
        </x14:conditionalFormatting>
        <x14:conditionalFormatting xmlns:xm="http://schemas.microsoft.com/office/excel/2006/main">
          <x14:cfRule type="expression" priority="237" stopIfTrue="1" id="{7EEB077F-FBAE-45ED-9E4B-4665A7BD192F}">
            <xm:f>IF(AND('C:\BẢNG LƯƠNG, % PCNG\$$$$$ - %%%%\@@@@. Luong + PCTN NG\1. Nâng (Lg + PC NG)\Luong, PCTN 2020\Lương+PC tháng 12.2020\[@. Lg + PC den T12 - 2020.xlsx]@.DL-New '!#REF!=0,OR('C:\BẢNG LƯƠNG, % PCNG\$$$$$ - %%%%\@@@@. Luong + PCTN NG\1. Nâng (Lg + PC NG)\Luong, PCTN 2020\Lương+PC tháng 12.2020\[@. Lg + PC den T12 - 2020.xlsx]@.DL-New '!#REF!-'C:\BẢNG LƯƠNG, % PCNG\$$$$$ - %%%%\@@@@. Luong + PCTN NG\1. Nâng (Lg + PC NG)\Luong, PCTN 2020\Lương+PC tháng 12.2020\[@. Lg + PC den T12 - 2020.xlsx]@.DL-New '!#REF!&gt;0,'C:\BẢNG LƯƠNG, % PCNG\$$$$$ - %%%%\@@@@. Luong + PCTN NG\1. Nâng (Lg + PC NG)\Luong, PCTN 2020\Lương+PC tháng 12.2020\[@. Lg + PC den T12 - 2020.xlsx]@.DL-New '!#REF!-'C:\BẢNG LƯƠNG, % PCNG\$$$$$ - %%%%\@@@@. Luong + PCTN NG\1. Nâng (Lg + PC NG)\Luong, PCTN 2020\Lương+PC tháng 12.2020\[@. Lg + PC den T12 - 2020.xlsx]@.DL-New '!#REF!&lt;0)),1,0)</xm:f>
            <x14:dxf>
              <font>
                <b/>
                <i val="0"/>
                <color rgb="FFFFFF00"/>
              </font>
              <fill>
                <patternFill>
                  <bgColor rgb="FFFF0000"/>
                </patternFill>
              </fill>
            </x14:dxf>
          </x14:cfRule>
          <xm:sqref>AJ180 AV180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08"/>
  <sheetViews>
    <sheetView showGridLines="0" tabSelected="1" showRuler="0" view="pageLayout" topLeftCell="B22" zoomScale="85" zoomScaleNormal="100" zoomScaleSheetLayoutView="110" zoomScalePageLayoutView="85" workbookViewId="0">
      <selection activeCell="B8" sqref="B8:BV8"/>
    </sheetView>
  </sheetViews>
  <sheetFormatPr defaultRowHeight="12.75" x14ac:dyDescent="0.2"/>
  <cols>
    <col min="1" max="1" width="0.85546875" style="591" hidden="1" customWidth="1"/>
    <col min="2" max="2" width="4.5703125" style="591" customWidth="1"/>
    <col min="3" max="3" width="0.140625" style="591" hidden="1" customWidth="1"/>
    <col min="4" max="4" width="5.85546875" style="591" hidden="1" customWidth="1"/>
    <col min="5" max="5" width="19" style="591" customWidth="1"/>
    <col min="6" max="6" width="4.85546875" style="591" customWidth="1"/>
    <col min="7" max="7" width="2.85546875" style="591" hidden="1" customWidth="1"/>
    <col min="8" max="8" width="4.7109375" style="591" hidden="1" customWidth="1"/>
    <col min="9" max="9" width="3" style="591" hidden="1" customWidth="1"/>
    <col min="10" max="10" width="3.140625" style="591" hidden="1" customWidth="1"/>
    <col min="11" max="14" width="2.5703125" style="591" hidden="1" customWidth="1"/>
    <col min="15" max="15" width="3.7109375" style="591" hidden="1" customWidth="1"/>
    <col min="16" max="17" width="4" style="591" hidden="1" customWidth="1"/>
    <col min="18" max="18" width="0.28515625" style="596" customWidth="1"/>
    <col min="19" max="19" width="30.140625" style="594" customWidth="1"/>
    <col min="20" max="20" width="1.85546875" style="591" hidden="1" customWidth="1"/>
    <col min="21" max="21" width="4.5703125" style="591" hidden="1" customWidth="1"/>
    <col min="22" max="22" width="0.140625" style="591" customWidth="1"/>
    <col min="23" max="23" width="16.85546875" style="761" customWidth="1"/>
    <col min="24" max="24" width="9.42578125" style="763" customWidth="1"/>
    <col min="25" max="25" width="17.28515625" style="591" hidden="1" customWidth="1"/>
    <col min="26" max="26" width="8.85546875" style="591" hidden="1" customWidth="1"/>
    <col min="27" max="27" width="6" style="591" hidden="1" customWidth="1"/>
    <col min="28" max="28" width="3.42578125" style="591" hidden="1" customWidth="1"/>
    <col min="29" max="29" width="1.42578125" style="591" hidden="1" customWidth="1"/>
    <col min="30" max="30" width="3.7109375" style="591" hidden="1" customWidth="1"/>
    <col min="31" max="37" width="5.85546875" style="763" hidden="1" customWidth="1"/>
    <col min="38" max="40" width="2.42578125" style="763" hidden="1" customWidth="1"/>
    <col min="41" max="41" width="3.28515625" style="591" hidden="1" customWidth="1"/>
    <col min="42" max="42" width="1.28515625" style="591" hidden="1" customWidth="1"/>
    <col min="43" max="43" width="3.42578125" style="591" hidden="1" customWidth="1"/>
    <col min="44" max="45" width="7" style="591" hidden="1" customWidth="1"/>
    <col min="46" max="46" width="3.7109375" style="591" hidden="1" customWidth="1"/>
    <col min="47" max="47" width="1.7109375" style="591" hidden="1" customWidth="1"/>
    <col min="48" max="48" width="3.140625" style="591" hidden="1" customWidth="1"/>
    <col min="49" max="49" width="1.7109375" style="591" hidden="1" customWidth="1"/>
    <col min="50" max="50" width="6.42578125" style="591" hidden="1" customWidth="1"/>
    <col min="51" max="51" width="9.140625" style="591" hidden="1" customWidth="1"/>
    <col min="52" max="52" width="7" style="591" hidden="1" customWidth="1"/>
    <col min="53" max="53" width="5.5703125" style="591" hidden="1" customWidth="1"/>
    <col min="54" max="55" width="9.140625" style="591" hidden="1" customWidth="1"/>
    <col min="56" max="56" width="5.7109375" style="591" hidden="1" customWidth="1"/>
    <col min="57" max="57" width="2" style="763" hidden="1" customWidth="1"/>
    <col min="58" max="58" width="0.140625" style="591" customWidth="1"/>
    <col min="59" max="59" width="3.85546875" style="763" customWidth="1"/>
    <col min="60" max="60" width="2.7109375" style="591" customWidth="1"/>
    <col min="61" max="61" width="0.28515625" style="593" customWidth="1"/>
    <col min="62" max="62" width="2.85546875" style="1423" customWidth="1"/>
    <col min="63" max="63" width="1.85546875" style="593" customWidth="1"/>
    <col min="64" max="64" width="4.85546875" style="593" customWidth="1"/>
    <col min="65" max="65" width="5.42578125" style="595" customWidth="1"/>
    <col min="66" max="66" width="8.28515625" style="593" customWidth="1"/>
    <col min="67" max="67" width="0.5703125" style="591" customWidth="1"/>
    <col min="68" max="68" width="3" style="591" customWidth="1"/>
    <col min="69" max="69" width="2.42578125" style="597" customWidth="1"/>
    <col min="70" max="70" width="0.5703125" style="593" customWidth="1"/>
    <col min="71" max="71" width="3" style="763" customWidth="1"/>
    <col min="72" max="72" width="2" style="593" customWidth="1"/>
    <col min="73" max="73" width="5.28515625" style="593" customWidth="1"/>
    <col min="74" max="74" width="8.140625" style="591" customWidth="1"/>
    <col min="75" max="75" width="13.28515625" style="591" bestFit="1" customWidth="1"/>
    <col min="76" max="76" width="6" style="592" bestFit="1" customWidth="1"/>
    <col min="77" max="77" width="9.140625" style="592" customWidth="1"/>
    <col min="78" max="79" width="9.140625" style="591" customWidth="1"/>
    <col min="80" max="80" width="7.42578125" style="591" customWidth="1"/>
    <col min="81" max="82" width="9.140625" style="591"/>
    <col min="83" max="83" width="10.28515625" style="593" customWidth="1"/>
    <col min="84" max="84" width="13.85546875" style="593" customWidth="1"/>
    <col min="85" max="86" width="9.140625" style="591"/>
    <col min="87" max="87" width="13.85546875" style="591" customWidth="1"/>
    <col min="88" max="16384" width="9.140625" style="591"/>
  </cols>
  <sheetData>
    <row r="1" spans="1:171" ht="18" customHeight="1" x14ac:dyDescent="0.2">
      <c r="A1" s="766"/>
      <c r="B1" s="2446" t="s">
        <v>414</v>
      </c>
      <c r="C1" s="2446"/>
      <c r="D1" s="2446"/>
      <c r="E1" s="2446"/>
      <c r="F1" s="2446"/>
      <c r="G1" s="2446"/>
      <c r="H1" s="2446"/>
      <c r="I1" s="2446"/>
      <c r="J1" s="2446"/>
      <c r="K1" s="2446"/>
      <c r="L1" s="2446"/>
      <c r="M1" s="2446"/>
      <c r="N1" s="2446"/>
      <c r="O1" s="2446"/>
      <c r="P1" s="2446"/>
      <c r="Q1" s="2446"/>
      <c r="R1" s="2446"/>
      <c r="S1" s="2446"/>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2447" t="s">
        <v>212</v>
      </c>
      <c r="BH1" s="2447"/>
      <c r="BI1" s="2447"/>
      <c r="BJ1" s="2447"/>
      <c r="BK1" s="2447"/>
      <c r="BL1" s="2447"/>
      <c r="BM1" s="2447"/>
      <c r="BN1" s="2447"/>
      <c r="BO1" s="2447"/>
      <c r="BP1" s="2447"/>
      <c r="BQ1" s="2447"/>
      <c r="BR1" s="2447"/>
      <c r="BS1" s="2447"/>
      <c r="BT1" s="2447"/>
      <c r="BU1" s="2447"/>
      <c r="BV1" s="2447"/>
    </row>
    <row r="2" spans="1:171" ht="15.75" customHeight="1" x14ac:dyDescent="0.2">
      <c r="B2" s="2447" t="s">
        <v>574</v>
      </c>
      <c r="C2" s="2447"/>
      <c r="D2" s="2447"/>
      <c r="E2" s="2447"/>
      <c r="F2" s="2447"/>
      <c r="G2" s="2447"/>
      <c r="H2" s="2447"/>
      <c r="I2" s="2447"/>
      <c r="J2" s="2447"/>
      <c r="K2" s="2447"/>
      <c r="L2" s="2447"/>
      <c r="M2" s="2447"/>
      <c r="N2" s="2447"/>
      <c r="O2" s="2447"/>
      <c r="P2" s="2447"/>
      <c r="Q2" s="2447"/>
      <c r="R2" s="2447"/>
      <c r="S2" s="2447"/>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c r="BD2" s="590"/>
      <c r="BE2" s="590"/>
      <c r="BF2" s="590"/>
      <c r="BG2" s="2447" t="s">
        <v>213</v>
      </c>
      <c r="BH2" s="2447"/>
      <c r="BI2" s="2447"/>
      <c r="BJ2" s="2447"/>
      <c r="BK2" s="2447"/>
      <c r="BL2" s="2447"/>
      <c r="BM2" s="2447"/>
      <c r="BN2" s="2447"/>
      <c r="BO2" s="2447"/>
      <c r="BP2" s="2447"/>
      <c r="BQ2" s="2447"/>
      <c r="BR2" s="2447"/>
      <c r="BS2" s="2447"/>
      <c r="BT2" s="2447"/>
      <c r="BU2" s="2447"/>
      <c r="BV2" s="2447"/>
    </row>
    <row r="3" spans="1:171" s="775" customFormat="1" ht="3.75" customHeight="1" x14ac:dyDescent="0.2">
      <c r="A3" s="767"/>
      <c r="B3" s="591"/>
      <c r="C3" s="767"/>
      <c r="D3" s="767"/>
      <c r="E3" s="768"/>
      <c r="F3" s="769"/>
      <c r="G3" s="769"/>
      <c r="H3" s="769"/>
      <c r="I3" s="769"/>
      <c r="J3" s="770"/>
      <c r="K3" s="771"/>
      <c r="L3" s="771"/>
      <c r="M3" s="771"/>
      <c r="N3" s="771"/>
      <c r="O3" s="771"/>
      <c r="P3" s="771"/>
      <c r="Q3" s="771"/>
      <c r="R3" s="772"/>
      <c r="S3" s="594"/>
      <c r="T3" s="768"/>
      <c r="U3" s="768"/>
      <c r="V3" s="768"/>
      <c r="W3" s="773"/>
      <c r="X3" s="774"/>
      <c r="Y3" s="774"/>
      <c r="Z3" s="769"/>
      <c r="AA3" s="591"/>
      <c r="AB3" s="591"/>
      <c r="AC3" s="591"/>
      <c r="AD3" s="591"/>
      <c r="AE3" s="763"/>
      <c r="AF3" s="763"/>
      <c r="AG3" s="763"/>
      <c r="AH3" s="763"/>
      <c r="AI3" s="763"/>
      <c r="AJ3" s="763"/>
      <c r="AK3" s="763"/>
      <c r="AL3" s="763"/>
      <c r="AM3" s="763"/>
      <c r="AN3" s="763"/>
      <c r="AO3" s="591"/>
      <c r="AP3" s="591"/>
      <c r="AQ3" s="591"/>
      <c r="AR3" s="591"/>
      <c r="AS3" s="591"/>
      <c r="AT3" s="591"/>
      <c r="AU3" s="591"/>
      <c r="AV3" s="591"/>
      <c r="AW3" s="591"/>
      <c r="AX3" s="591"/>
      <c r="AY3" s="771"/>
      <c r="AZ3" s="591"/>
      <c r="BA3" s="591"/>
      <c r="BE3" s="776"/>
      <c r="BG3" s="763"/>
      <c r="BH3" s="591"/>
      <c r="BI3" s="593"/>
      <c r="BJ3" s="1420"/>
      <c r="BK3" s="778"/>
      <c r="BL3" s="593"/>
      <c r="BM3" s="595"/>
      <c r="BN3" s="593"/>
      <c r="BR3" s="779"/>
      <c r="BS3" s="780"/>
      <c r="BT3" s="778"/>
      <c r="BU3" s="593"/>
      <c r="BX3" s="777"/>
      <c r="BY3" s="777"/>
      <c r="CE3" s="779"/>
      <c r="CF3" s="779"/>
      <c r="CI3" s="772"/>
    </row>
    <row r="4" spans="1:171" s="784" customFormat="1" ht="16.5" customHeight="1" x14ac:dyDescent="0.2">
      <c r="A4" s="781"/>
      <c r="B4" s="781"/>
      <c r="C4" s="781"/>
      <c r="D4" s="782"/>
      <c r="E4" s="781"/>
      <c r="F4" s="783"/>
      <c r="G4" s="781"/>
      <c r="H4" s="781"/>
      <c r="I4" s="781"/>
      <c r="J4" s="781"/>
      <c r="K4" s="781"/>
      <c r="L4" s="781"/>
      <c r="M4" s="781"/>
      <c r="N4" s="781"/>
      <c r="O4" s="781"/>
      <c r="P4" s="781"/>
      <c r="Q4" s="782"/>
      <c r="R4" s="772"/>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785"/>
      <c r="BE4" s="785"/>
      <c r="BF4" s="785"/>
      <c r="BG4" s="786"/>
      <c r="BH4" s="785"/>
      <c r="BI4" s="785"/>
      <c r="BJ4" s="1424"/>
      <c r="BK4" s="785"/>
      <c r="BL4" s="785"/>
      <c r="BM4" s="785" t="s">
        <v>656</v>
      </c>
      <c r="BN4" s="785"/>
      <c r="BO4" s="785"/>
      <c r="BP4" s="785"/>
      <c r="BQ4" s="785"/>
      <c r="BR4" s="785"/>
      <c r="BS4" s="785"/>
      <c r="BT4" s="785"/>
      <c r="BU4" s="785"/>
    </row>
    <row r="5" spans="1:171" ht="26.25" customHeight="1" x14ac:dyDescent="0.2">
      <c r="A5" s="773" t="s">
        <v>622</v>
      </c>
      <c r="B5" s="2450" t="s">
        <v>653</v>
      </c>
      <c r="C5" s="2450"/>
      <c r="D5" s="2450"/>
      <c r="E5" s="2450"/>
      <c r="F5" s="2450"/>
      <c r="G5" s="2450"/>
      <c r="H5" s="2450"/>
      <c r="I5" s="2450"/>
      <c r="J5" s="2450"/>
      <c r="K5" s="2450"/>
      <c r="L5" s="2450"/>
      <c r="M5" s="2450"/>
      <c r="N5" s="2450"/>
      <c r="O5" s="2450"/>
      <c r="P5" s="2450"/>
      <c r="Q5" s="2450"/>
      <c r="R5" s="2450"/>
      <c r="S5" s="2450"/>
      <c r="T5" s="2450"/>
      <c r="U5" s="2450"/>
      <c r="V5" s="2450"/>
      <c r="W5" s="2450"/>
      <c r="X5" s="2450"/>
      <c r="Y5" s="2450"/>
      <c r="Z5" s="2450"/>
      <c r="AA5" s="2450"/>
      <c r="AB5" s="2450"/>
      <c r="AC5" s="2450"/>
      <c r="AD5" s="2450"/>
      <c r="AE5" s="2450"/>
      <c r="AF5" s="2450"/>
      <c r="AG5" s="2450"/>
      <c r="AH5" s="2450"/>
      <c r="AI5" s="2450"/>
      <c r="AJ5" s="2450"/>
      <c r="AK5" s="2450"/>
      <c r="AL5" s="2450"/>
      <c r="AM5" s="2450"/>
      <c r="AN5" s="2450"/>
      <c r="AO5" s="2450"/>
      <c r="AP5" s="2450"/>
      <c r="AQ5" s="2450"/>
      <c r="AR5" s="2450"/>
      <c r="AS5" s="2450"/>
      <c r="AT5" s="2450"/>
      <c r="AU5" s="2450"/>
      <c r="AV5" s="2450"/>
      <c r="AW5" s="2450"/>
      <c r="AX5" s="2450"/>
      <c r="AY5" s="2450"/>
      <c r="AZ5" s="2450"/>
      <c r="BA5" s="2450"/>
      <c r="BB5" s="2450"/>
      <c r="BC5" s="2450"/>
      <c r="BD5" s="2450"/>
      <c r="BE5" s="2450"/>
      <c r="BF5" s="2450"/>
      <c r="BG5" s="2450"/>
      <c r="BH5" s="2450"/>
      <c r="BI5" s="2450"/>
      <c r="BJ5" s="2450"/>
      <c r="BK5" s="2450"/>
      <c r="BL5" s="2450"/>
      <c r="BM5" s="2450"/>
      <c r="BN5" s="2450"/>
      <c r="BO5" s="2450"/>
      <c r="BP5" s="2450"/>
      <c r="BQ5" s="2450"/>
      <c r="BR5" s="2450"/>
      <c r="BS5" s="2450"/>
      <c r="BT5" s="2450"/>
      <c r="BU5" s="2450"/>
      <c r="BV5" s="2450"/>
      <c r="BW5" s="787"/>
      <c r="BX5" s="787"/>
      <c r="BY5" s="787"/>
      <c r="BZ5" s="787"/>
      <c r="CA5" s="787"/>
      <c r="CB5" s="787"/>
      <c r="CD5" s="591" t="s">
        <v>496</v>
      </c>
    </row>
    <row r="6" spans="1:171" s="1264" customFormat="1" ht="17.25" customHeight="1" x14ac:dyDescent="0.2">
      <c r="A6" s="1260"/>
      <c r="B6" s="1261" t="s">
        <v>624</v>
      </c>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1261"/>
      <c r="AJ6" s="1261"/>
      <c r="AK6" s="1261"/>
      <c r="AL6" s="1261"/>
      <c r="AM6" s="1261"/>
      <c r="AN6" s="1261"/>
      <c r="AO6" s="1261"/>
      <c r="AP6" s="1261"/>
      <c r="AQ6" s="1261"/>
      <c r="AR6" s="1261"/>
      <c r="AS6" s="1261"/>
      <c r="AT6" s="1261"/>
      <c r="AU6" s="1261"/>
      <c r="AV6" s="1261"/>
      <c r="AW6" s="1261"/>
      <c r="AX6" s="1261"/>
      <c r="AY6" s="1261"/>
      <c r="AZ6" s="1261"/>
      <c r="BA6" s="1261"/>
      <c r="BB6" s="1261"/>
      <c r="BC6" s="1261"/>
      <c r="BD6" s="1261"/>
      <c r="BE6" s="1261"/>
      <c r="BF6" s="1261"/>
      <c r="BG6" s="1262"/>
      <c r="BH6" s="1261"/>
      <c r="BI6" s="1261"/>
      <c r="BJ6" s="1425"/>
      <c r="BK6" s="1261"/>
      <c r="BL6" s="1261"/>
      <c r="BM6" s="1261"/>
      <c r="BN6" s="1261"/>
      <c r="BO6" s="1261"/>
      <c r="BP6" s="1261"/>
      <c r="BQ6" s="1261"/>
      <c r="BR6" s="1261"/>
      <c r="BS6" s="1261"/>
      <c r="BT6" s="1261"/>
      <c r="BU6" s="1261"/>
      <c r="BV6" s="1261"/>
      <c r="BW6" s="1263"/>
      <c r="BX6" s="1263"/>
      <c r="BY6" s="1263"/>
      <c r="BZ6" s="1263"/>
      <c r="CB6" s="1265"/>
      <c r="CC6" s="1266"/>
      <c r="CD6" s="1260"/>
    </row>
    <row r="7" spans="1:171" s="1264" customFormat="1" ht="12" customHeight="1" x14ac:dyDescent="0.2">
      <c r="A7" s="1260"/>
      <c r="B7" s="2470" t="s">
        <v>616</v>
      </c>
      <c r="C7" s="2470"/>
      <c r="D7" s="2470"/>
      <c r="E7" s="2470"/>
      <c r="F7" s="2470"/>
      <c r="G7" s="2470"/>
      <c r="H7" s="2470"/>
      <c r="I7" s="2470"/>
      <c r="J7" s="2470"/>
      <c r="K7" s="2470"/>
      <c r="L7" s="2470"/>
      <c r="M7" s="2470"/>
      <c r="N7" s="2470"/>
      <c r="O7" s="2470"/>
      <c r="P7" s="2470"/>
      <c r="Q7" s="2470"/>
      <c r="R7" s="2470"/>
      <c r="S7" s="2470"/>
      <c r="T7" s="2470"/>
      <c r="U7" s="2470"/>
      <c r="V7" s="2470"/>
      <c r="W7" s="2470"/>
      <c r="X7" s="2470"/>
      <c r="Y7" s="2470"/>
      <c r="Z7" s="2470"/>
      <c r="AA7" s="2470"/>
      <c r="AB7" s="2470"/>
      <c r="AC7" s="2470"/>
      <c r="AD7" s="2470"/>
      <c r="AE7" s="2470"/>
      <c r="AF7" s="2470"/>
      <c r="AG7" s="2470"/>
      <c r="AH7" s="2470"/>
      <c r="AI7" s="2470"/>
      <c r="AJ7" s="2470"/>
      <c r="AK7" s="2470"/>
      <c r="AL7" s="2470"/>
      <c r="AM7" s="2470"/>
      <c r="AN7" s="2470"/>
      <c r="AO7" s="2470"/>
      <c r="AP7" s="2470"/>
      <c r="AQ7" s="2470"/>
      <c r="AR7" s="2470"/>
      <c r="AS7" s="2470"/>
      <c r="AT7" s="2470"/>
      <c r="AU7" s="2470"/>
      <c r="AV7" s="2470"/>
      <c r="AW7" s="2470"/>
      <c r="AX7" s="2470"/>
      <c r="AY7" s="2470"/>
      <c r="AZ7" s="2470"/>
      <c r="BA7" s="2470"/>
      <c r="BB7" s="2470"/>
      <c r="BC7" s="2470"/>
      <c r="BD7" s="2470"/>
      <c r="BE7" s="2470"/>
      <c r="BF7" s="2470"/>
      <c r="BG7" s="2470"/>
      <c r="BH7" s="2470"/>
      <c r="BI7" s="2470"/>
      <c r="BJ7" s="2470"/>
      <c r="BK7" s="2470"/>
      <c r="BL7" s="2470"/>
      <c r="BM7" s="2470"/>
      <c r="BN7" s="2470"/>
      <c r="BO7" s="2470"/>
      <c r="BP7" s="2470"/>
      <c r="BQ7" s="2470"/>
      <c r="BR7" s="2470"/>
      <c r="BS7" s="2470"/>
      <c r="BT7" s="2470"/>
      <c r="BU7" s="2470"/>
      <c r="BV7" s="2470"/>
      <c r="BW7" s="1263"/>
      <c r="BX7" s="1263"/>
      <c r="BY7" s="1263"/>
      <c r="BZ7" s="1263"/>
      <c r="CB7" s="1265"/>
      <c r="CC7" s="1266"/>
      <c r="CD7" s="1260"/>
    </row>
    <row r="8" spans="1:171" s="1267" customFormat="1" ht="12" customHeight="1" x14ac:dyDescent="0.2">
      <c r="B8" s="2470" t="s">
        <v>654</v>
      </c>
      <c r="C8" s="2470"/>
      <c r="D8" s="2470"/>
      <c r="E8" s="2470"/>
      <c r="F8" s="2470"/>
      <c r="G8" s="2470"/>
      <c r="H8" s="2470"/>
      <c r="I8" s="2470"/>
      <c r="J8" s="2470"/>
      <c r="K8" s="2470"/>
      <c r="L8" s="2470"/>
      <c r="M8" s="2470"/>
      <c r="N8" s="2470"/>
      <c r="O8" s="2470"/>
      <c r="P8" s="2470"/>
      <c r="Q8" s="2470"/>
      <c r="R8" s="2470"/>
      <c r="S8" s="2470"/>
      <c r="T8" s="2470"/>
      <c r="U8" s="2470"/>
      <c r="V8" s="2470"/>
      <c r="W8" s="2470"/>
      <c r="X8" s="2470"/>
      <c r="Y8" s="2470"/>
      <c r="Z8" s="2470"/>
      <c r="AA8" s="2470"/>
      <c r="AB8" s="2470"/>
      <c r="AC8" s="2470"/>
      <c r="AD8" s="2470"/>
      <c r="AE8" s="2470"/>
      <c r="AF8" s="2470"/>
      <c r="AG8" s="2470"/>
      <c r="AH8" s="2470"/>
      <c r="AI8" s="2470"/>
      <c r="AJ8" s="2470"/>
      <c r="AK8" s="2470"/>
      <c r="AL8" s="2470"/>
      <c r="AM8" s="2470"/>
      <c r="AN8" s="2470"/>
      <c r="AO8" s="2470"/>
      <c r="AP8" s="2470"/>
      <c r="AQ8" s="2470"/>
      <c r="AR8" s="2470"/>
      <c r="AS8" s="2470"/>
      <c r="AT8" s="2470"/>
      <c r="AU8" s="2470"/>
      <c r="AV8" s="2470"/>
      <c r="AW8" s="2470"/>
      <c r="AX8" s="2470"/>
      <c r="AY8" s="2470"/>
      <c r="AZ8" s="2470"/>
      <c r="BA8" s="2470"/>
      <c r="BB8" s="2470"/>
      <c r="BC8" s="2470"/>
      <c r="BD8" s="2470"/>
      <c r="BE8" s="2470"/>
      <c r="BF8" s="2470"/>
      <c r="BG8" s="2470"/>
      <c r="BH8" s="2470"/>
      <c r="BI8" s="2470"/>
      <c r="BJ8" s="2470"/>
      <c r="BK8" s="2470"/>
      <c r="BL8" s="2470"/>
      <c r="BM8" s="2470"/>
      <c r="BN8" s="2470"/>
      <c r="BO8" s="2470"/>
      <c r="BP8" s="2470"/>
      <c r="BQ8" s="2470"/>
      <c r="BR8" s="2470"/>
      <c r="BS8" s="2470"/>
      <c r="BT8" s="2470"/>
      <c r="BU8" s="2470"/>
      <c r="BV8" s="2470"/>
      <c r="BX8" s="1268"/>
      <c r="BY8" s="1268"/>
      <c r="CE8" s="1269"/>
      <c r="CF8" s="1269"/>
    </row>
    <row r="9" spans="1:171" s="1272" customFormat="1" ht="14.25" customHeight="1" x14ac:dyDescent="0.2">
      <c r="A9" s="1270"/>
      <c r="B9" s="2471" t="s">
        <v>313</v>
      </c>
      <c r="C9" s="2472"/>
      <c r="D9" s="2472"/>
      <c r="E9" s="2471"/>
      <c r="F9" s="1271" t="s">
        <v>349</v>
      </c>
      <c r="H9" s="1273"/>
      <c r="I9" s="1274"/>
      <c r="J9" s="1275"/>
      <c r="K9" s="1273"/>
      <c r="L9" s="1273"/>
      <c r="M9" s="1273"/>
      <c r="N9" s="1273"/>
      <c r="O9" s="1273"/>
      <c r="P9" s="1273"/>
      <c r="Q9" s="1273"/>
      <c r="R9" s="2472" t="s">
        <v>646</v>
      </c>
      <c r="S9" s="2472"/>
      <c r="T9" s="1267"/>
      <c r="U9" s="1267"/>
      <c r="V9" s="1267"/>
      <c r="W9" s="1276"/>
      <c r="X9" s="1277"/>
      <c r="Y9" s="1267"/>
      <c r="Z9" s="1267"/>
      <c r="AA9" s="1267"/>
      <c r="AB9" s="1273"/>
      <c r="AC9" s="1275"/>
      <c r="AD9" s="1273"/>
      <c r="AE9" s="1273"/>
      <c r="AF9" s="1273"/>
      <c r="AG9" s="1273"/>
      <c r="AH9" s="1273"/>
      <c r="AI9" s="1273"/>
      <c r="AJ9" s="1273"/>
      <c r="AK9" s="1273"/>
      <c r="AL9" s="1273"/>
      <c r="AM9" s="1273"/>
      <c r="AN9" s="1273"/>
      <c r="AO9" s="1273"/>
      <c r="AP9" s="1274"/>
      <c r="AQ9" s="1274"/>
      <c r="AR9" s="1278"/>
      <c r="AS9" s="1278"/>
      <c r="AT9" s="1273"/>
      <c r="AU9" s="1267"/>
      <c r="AV9" s="1267"/>
      <c r="AW9" s="1267" t="s">
        <v>396</v>
      </c>
      <c r="AX9" s="1267"/>
      <c r="AZ9" s="1267"/>
      <c r="BA9" s="1267"/>
      <c r="BE9" s="1279"/>
      <c r="BG9" s="1277"/>
      <c r="BH9" s="1267"/>
      <c r="BI9" s="1269"/>
      <c r="BJ9" s="1421"/>
      <c r="BK9" s="1280"/>
      <c r="BL9" s="1269"/>
      <c r="BM9" s="1281"/>
      <c r="BN9" s="1269"/>
      <c r="BR9" s="1280"/>
      <c r="BS9" s="1279"/>
      <c r="BT9" s="1280"/>
      <c r="BU9" s="1269"/>
      <c r="CD9" s="1272" t="s">
        <v>497</v>
      </c>
      <c r="CE9" s="1280"/>
      <c r="CF9" s="1280"/>
      <c r="CI9" s="1267" t="s">
        <v>214</v>
      </c>
    </row>
    <row r="10" spans="1:171" s="1267" customFormat="1" ht="1.5" customHeight="1" x14ac:dyDescent="0.2">
      <c r="B10" s="1267" t="s">
        <v>139</v>
      </c>
      <c r="R10" s="1282"/>
      <c r="S10" s="1283"/>
      <c r="W10" s="1276"/>
      <c r="X10" s="1277"/>
      <c r="AE10" s="1277"/>
      <c r="AF10" s="1277"/>
      <c r="AG10" s="1277"/>
      <c r="AH10" s="1277"/>
      <c r="AI10" s="1277"/>
      <c r="AJ10" s="1277"/>
      <c r="AK10" s="1277"/>
      <c r="AL10" s="1277"/>
      <c r="AM10" s="1277"/>
      <c r="AN10" s="1277"/>
      <c r="BE10" s="1277"/>
      <c r="BG10" s="1277"/>
      <c r="BI10" s="1269"/>
      <c r="BJ10" s="1422"/>
      <c r="BK10" s="1269"/>
      <c r="BL10" s="1269"/>
      <c r="BM10" s="1281"/>
      <c r="BN10" s="1269"/>
      <c r="BQ10" s="1284"/>
      <c r="BR10" s="1269"/>
      <c r="BS10" s="1277"/>
      <c r="BT10" s="1269"/>
      <c r="BU10" s="1269"/>
      <c r="BX10" s="1268"/>
      <c r="BY10" s="1268"/>
      <c r="CD10" s="1267" t="s">
        <v>498</v>
      </c>
      <c r="CE10" s="1269"/>
      <c r="CF10" s="1269"/>
    </row>
    <row r="11" spans="1:171" s="1288" customFormat="1" ht="24.75" customHeight="1" x14ac:dyDescent="0.2">
      <c r="A11" s="1264" t="s">
        <v>293</v>
      </c>
      <c r="B11" s="2449" t="s">
        <v>546</v>
      </c>
      <c r="C11" s="1285"/>
      <c r="D11" s="2451" t="s">
        <v>101</v>
      </c>
      <c r="E11" s="2449" t="s">
        <v>547</v>
      </c>
      <c r="F11" s="2451" t="s">
        <v>548</v>
      </c>
      <c r="G11" s="1286" t="s">
        <v>389</v>
      </c>
      <c r="H11" s="1286"/>
      <c r="I11" s="1286"/>
      <c r="J11" s="1286"/>
      <c r="K11" s="1286"/>
      <c r="L11" s="1286"/>
      <c r="M11" s="1286"/>
      <c r="N11" s="1286"/>
      <c r="O11" s="1286"/>
      <c r="P11" s="1286"/>
      <c r="Q11" s="1286"/>
      <c r="R11" s="2449" t="s">
        <v>549</v>
      </c>
      <c r="S11" s="2449"/>
      <c r="T11" s="1285"/>
      <c r="U11" s="1285"/>
      <c r="V11" s="1287"/>
      <c r="W11" s="2449" t="s">
        <v>561</v>
      </c>
      <c r="X11" s="2449"/>
      <c r="Y11" s="2449"/>
      <c r="Z11" s="1286"/>
      <c r="AA11" s="1286"/>
      <c r="AB11" s="1286" t="s">
        <v>215</v>
      </c>
      <c r="AC11" s="1286"/>
      <c r="AD11" s="1286"/>
      <c r="AE11" s="1286"/>
      <c r="AF11" s="1286"/>
      <c r="AG11" s="1286"/>
      <c r="AH11" s="1286"/>
      <c r="AI11" s="1286"/>
      <c r="AJ11" s="1286"/>
      <c r="AK11" s="1286"/>
      <c r="AL11" s="1286"/>
      <c r="AM11" s="1286"/>
      <c r="AN11" s="1286"/>
      <c r="AO11" s="1286"/>
      <c r="AP11" s="1286"/>
      <c r="AQ11" s="1286"/>
      <c r="AR11" s="1286" t="s">
        <v>397</v>
      </c>
      <c r="AS11" s="1286"/>
      <c r="AT11" s="1286"/>
      <c r="AU11" s="1286"/>
      <c r="AV11" s="1286"/>
      <c r="AW11" s="1286"/>
      <c r="AX11" s="1286"/>
      <c r="AY11" s="1286"/>
      <c r="AZ11" s="1286"/>
      <c r="BA11" s="1286"/>
      <c r="BB11" s="1286"/>
      <c r="BC11" s="1286"/>
      <c r="BD11" s="1286"/>
      <c r="BE11" s="1285"/>
      <c r="BF11" s="2449" t="s">
        <v>551</v>
      </c>
      <c r="BG11" s="2449"/>
      <c r="BH11" s="2449"/>
      <c r="BI11" s="2449"/>
      <c r="BJ11" s="2449"/>
      <c r="BK11" s="2449"/>
      <c r="BL11" s="2449"/>
      <c r="BM11" s="2463" t="s">
        <v>553</v>
      </c>
      <c r="BN11" s="2464"/>
      <c r="BO11" s="2449" t="s">
        <v>554</v>
      </c>
      <c r="BP11" s="2449"/>
      <c r="BQ11" s="2449"/>
      <c r="BR11" s="2449"/>
      <c r="BS11" s="2449"/>
      <c r="BT11" s="2449"/>
      <c r="BU11" s="2449"/>
      <c r="BV11" s="2467" t="s">
        <v>397</v>
      </c>
      <c r="BW11" s="2449"/>
      <c r="BX11" s="2449"/>
      <c r="BY11" s="1285"/>
      <c r="BZ11" s="1285"/>
      <c r="CA11" s="2449"/>
      <c r="CB11" s="2449"/>
      <c r="CE11" s="1289"/>
      <c r="CF11" s="1289"/>
    </row>
    <row r="12" spans="1:171" s="1288" customFormat="1" ht="12.75" customHeight="1" x14ac:dyDescent="0.2">
      <c r="A12" s="1264"/>
      <c r="B12" s="2449"/>
      <c r="C12" s="1285"/>
      <c r="D12" s="2452"/>
      <c r="E12" s="2449"/>
      <c r="F12" s="2452"/>
      <c r="G12" s="1286"/>
      <c r="H12" s="1286"/>
      <c r="I12" s="1286"/>
      <c r="J12" s="1286"/>
      <c r="K12" s="1286"/>
      <c r="L12" s="1286"/>
      <c r="M12" s="1286"/>
      <c r="N12" s="1286"/>
      <c r="O12" s="1286"/>
      <c r="P12" s="1286"/>
      <c r="Q12" s="1286"/>
      <c r="R12" s="2449"/>
      <c r="S12" s="2449"/>
      <c r="T12" s="1285"/>
      <c r="U12" s="1285"/>
      <c r="V12" s="1290"/>
      <c r="W12" s="2449"/>
      <c r="X12" s="2449"/>
      <c r="Y12" s="2449"/>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5"/>
      <c r="BF12" s="2454" t="s">
        <v>490</v>
      </c>
      <c r="BG12" s="2455"/>
      <c r="BH12" s="1291"/>
      <c r="BI12" s="1285"/>
      <c r="BJ12" s="2456" t="s">
        <v>550</v>
      </c>
      <c r="BK12" s="2456"/>
      <c r="BL12" s="2456"/>
      <c r="BM12" s="2465"/>
      <c r="BN12" s="2466"/>
      <c r="BO12" s="2456" t="s">
        <v>490</v>
      </c>
      <c r="BP12" s="2456"/>
      <c r="BQ12" s="2456"/>
      <c r="BR12" s="1292"/>
      <c r="BS12" s="2457" t="s">
        <v>550</v>
      </c>
      <c r="BT12" s="2458"/>
      <c r="BU12" s="2459"/>
      <c r="BV12" s="2467"/>
      <c r="BW12" s="2449"/>
      <c r="BX12" s="2449"/>
      <c r="BY12" s="1285"/>
      <c r="BZ12" s="1285"/>
      <c r="CA12" s="2449"/>
      <c r="CB12" s="2449"/>
      <c r="CE12" s="1289"/>
      <c r="CF12" s="1289"/>
    </row>
    <row r="13" spans="1:171" s="1264" customFormat="1" ht="27.75" customHeight="1" x14ac:dyDescent="0.2">
      <c r="B13" s="2449"/>
      <c r="C13" s="1285"/>
      <c r="D13" s="2453"/>
      <c r="E13" s="2449"/>
      <c r="F13" s="2453"/>
      <c r="G13" s="1286"/>
      <c r="H13" s="1286"/>
      <c r="I13" s="1286"/>
      <c r="J13" s="1286"/>
      <c r="K13" s="1286"/>
      <c r="L13" s="1286"/>
      <c r="M13" s="1286"/>
      <c r="N13" s="1286"/>
      <c r="O13" s="1286"/>
      <c r="P13" s="1286"/>
      <c r="Q13" s="1286"/>
      <c r="R13" s="2449"/>
      <c r="S13" s="2449"/>
      <c r="T13" s="1285"/>
      <c r="U13" s="1285"/>
      <c r="V13" s="1293"/>
      <c r="W13" s="2449"/>
      <c r="X13" s="2449"/>
      <c r="Y13" s="2449"/>
      <c r="Z13" s="1286"/>
      <c r="AA13" s="1286"/>
      <c r="AB13" s="1286" t="s">
        <v>202</v>
      </c>
      <c r="AC13" s="1286"/>
      <c r="AD13" s="1286" t="s">
        <v>203</v>
      </c>
      <c r="AE13" s="1286"/>
      <c r="AF13" s="1286"/>
      <c r="AG13" s="1286"/>
      <c r="AH13" s="1286"/>
      <c r="AI13" s="1286"/>
      <c r="AJ13" s="1286"/>
      <c r="AK13" s="1286"/>
      <c r="AL13" s="1286"/>
      <c r="AM13" s="1286"/>
      <c r="AN13" s="1286"/>
      <c r="AO13" s="1286" t="s">
        <v>216</v>
      </c>
      <c r="AP13" s="1286"/>
      <c r="AQ13" s="1286"/>
      <c r="AR13" s="1286"/>
      <c r="AS13" s="1286"/>
      <c r="AT13" s="1286" t="s">
        <v>217</v>
      </c>
      <c r="AU13" s="1286" t="s">
        <v>218</v>
      </c>
      <c r="AV13" s="1294" t="s">
        <v>219</v>
      </c>
      <c r="AW13" s="1286"/>
      <c r="AX13" s="1286"/>
      <c r="AY13" s="1286"/>
      <c r="AZ13" s="1286"/>
      <c r="BA13" s="1286"/>
      <c r="BB13" s="1286"/>
      <c r="BC13" s="1286"/>
      <c r="BD13" s="1286"/>
      <c r="BE13" s="1285"/>
      <c r="BF13" s="2454"/>
      <c r="BG13" s="2455"/>
      <c r="BH13" s="1295"/>
      <c r="BI13" s="1296"/>
      <c r="BJ13" s="2456"/>
      <c r="BK13" s="2456"/>
      <c r="BL13" s="2456"/>
      <c r="BM13" s="1297" t="s">
        <v>545</v>
      </c>
      <c r="BN13" s="1298" t="s">
        <v>558</v>
      </c>
      <c r="BO13" s="2456"/>
      <c r="BP13" s="2456"/>
      <c r="BQ13" s="2456"/>
      <c r="BR13" s="1299"/>
      <c r="BS13" s="2460"/>
      <c r="BT13" s="2461"/>
      <c r="BU13" s="2462"/>
      <c r="BV13" s="2467"/>
      <c r="BW13" s="2449"/>
      <c r="BX13" s="2449"/>
      <c r="BY13" s="1285"/>
      <c r="BZ13" s="1285"/>
      <c r="CA13" s="2449"/>
      <c r="CB13" s="2449"/>
      <c r="CE13" s="1300"/>
      <c r="CF13" s="1300"/>
    </row>
    <row r="14" spans="1:171" s="1264" customFormat="1" ht="1.5" hidden="1" customHeight="1" x14ac:dyDescent="0.2">
      <c r="A14" s="1264" t="s">
        <v>388</v>
      </c>
      <c r="B14" s="1301"/>
      <c r="C14" s="1302"/>
      <c r="D14" s="1302"/>
      <c r="E14" s="1303" t="s">
        <v>96</v>
      </c>
      <c r="F14" s="1302" t="s">
        <v>101</v>
      </c>
      <c r="G14" s="1302"/>
      <c r="H14" s="1302"/>
      <c r="I14" s="1302"/>
      <c r="J14" s="1302"/>
      <c r="K14" s="1302"/>
      <c r="L14" s="1302"/>
      <c r="M14" s="1302"/>
      <c r="N14" s="1302"/>
      <c r="O14" s="1302"/>
      <c r="P14" s="1302"/>
      <c r="Q14" s="1302"/>
      <c r="R14" s="1304" t="s">
        <v>220</v>
      </c>
      <c r="S14" s="1303" t="s">
        <v>221</v>
      </c>
      <c r="T14" s="1302"/>
      <c r="U14" s="1302"/>
      <c r="V14" s="1302"/>
      <c r="W14" s="1305"/>
      <c r="X14" s="1301"/>
      <c r="Y14" s="1306" t="s">
        <v>222</v>
      </c>
      <c r="Z14" s="1306" t="s">
        <v>223</v>
      </c>
      <c r="AA14" s="1306"/>
      <c r="AB14" s="1306" t="s">
        <v>204</v>
      </c>
      <c r="AC14" s="1306"/>
      <c r="AD14" s="1306" t="s">
        <v>224</v>
      </c>
      <c r="AE14" s="1307"/>
      <c r="AF14" s="1307"/>
      <c r="AG14" s="1307"/>
      <c r="AH14" s="1307"/>
      <c r="AI14" s="1307"/>
      <c r="AJ14" s="1307"/>
      <c r="AK14" s="1307"/>
      <c r="AL14" s="1307"/>
      <c r="AM14" s="1307"/>
      <c r="AN14" s="1307"/>
      <c r="AO14" s="1306" t="s">
        <v>225</v>
      </c>
      <c r="AP14" s="1306"/>
      <c r="AQ14" s="1306"/>
      <c r="AR14" s="1306"/>
      <c r="AS14" s="1306"/>
      <c r="AT14" s="1302"/>
      <c r="AU14" s="1302"/>
      <c r="AV14" s="1302"/>
      <c r="AW14" s="1302"/>
      <c r="AX14" s="1302"/>
      <c r="AY14" s="1302"/>
      <c r="AZ14" s="1302"/>
      <c r="BA14" s="1302"/>
      <c r="BB14" s="1302"/>
      <c r="BC14" s="1302"/>
      <c r="BD14" s="1302"/>
      <c r="BE14" s="1301"/>
      <c r="BF14" s="1308" t="s">
        <v>223</v>
      </c>
      <c r="BG14" s="1309"/>
      <c r="BH14" s="1310"/>
      <c r="BI14" s="1311"/>
      <c r="BJ14" s="1312" t="s">
        <v>224</v>
      </c>
      <c r="BK14" s="1313"/>
      <c r="BL14" s="1302" t="s">
        <v>225</v>
      </c>
      <c r="BM14" s="1314"/>
      <c r="BN14" s="1302"/>
      <c r="BO14" s="1302" t="s">
        <v>204</v>
      </c>
      <c r="BP14" s="1302"/>
      <c r="BQ14" s="1312"/>
      <c r="BR14" s="1311"/>
      <c r="BS14" s="1301" t="s">
        <v>224</v>
      </c>
      <c r="BT14" s="1313"/>
      <c r="BU14" s="1311" t="s">
        <v>225</v>
      </c>
      <c r="BV14" s="1310"/>
      <c r="BW14" s="1302"/>
      <c r="BX14" s="1302"/>
      <c r="BY14" s="1302"/>
      <c r="BZ14" s="1302"/>
      <c r="CA14" s="1302"/>
      <c r="CB14" s="1302"/>
      <c r="CE14" s="1300"/>
      <c r="CF14" s="1300"/>
    </row>
    <row r="15" spans="1:171" s="678" customFormat="1" ht="27" customHeight="1" x14ac:dyDescent="0.2">
      <c r="A15" s="599" t="s">
        <v>374</v>
      </c>
      <c r="B15" s="600">
        <v>1</v>
      </c>
      <c r="C15" s="599"/>
      <c r="D15" s="599"/>
      <c r="E15" s="601">
        <v>2</v>
      </c>
      <c r="F15" s="599">
        <v>3</v>
      </c>
      <c r="G15" s="602"/>
      <c r="H15" s="603"/>
      <c r="I15" s="604"/>
      <c r="J15" s="603"/>
      <c r="K15" s="605"/>
      <c r="L15" s="606"/>
      <c r="M15" s="607"/>
      <c r="N15" s="608"/>
      <c r="O15" s="609"/>
      <c r="P15" s="610"/>
      <c r="Q15" s="611"/>
      <c r="R15" s="681">
        <v>4</v>
      </c>
      <c r="S15" s="682"/>
      <c r="T15" s="612"/>
      <c r="U15" s="613"/>
      <c r="V15" s="683">
        <v>5</v>
      </c>
      <c r="W15" s="684"/>
      <c r="X15" s="685"/>
      <c r="Y15" s="614">
        <v>6</v>
      </c>
      <c r="Z15" s="614">
        <v>7</v>
      </c>
      <c r="AA15" s="615"/>
      <c r="AB15" s="616">
        <v>8</v>
      </c>
      <c r="AC15" s="617"/>
      <c r="AD15" s="618"/>
      <c r="AE15" s="619"/>
      <c r="AF15" s="620"/>
      <c r="AG15" s="620"/>
      <c r="AH15" s="621"/>
      <c r="AI15" s="622"/>
      <c r="AJ15" s="623"/>
      <c r="AK15" s="622"/>
      <c r="AL15" s="624"/>
      <c r="AM15" s="625"/>
      <c r="AN15" s="626"/>
      <c r="AO15" s="627">
        <v>9</v>
      </c>
      <c r="AP15" s="628">
        <v>10</v>
      </c>
      <c r="AQ15" s="629"/>
      <c r="AR15" s="630"/>
      <c r="AS15" s="631"/>
      <c r="AT15" s="632"/>
      <c r="AU15" s="633"/>
      <c r="AV15" s="634"/>
      <c r="AW15" s="633"/>
      <c r="AX15" s="635"/>
      <c r="AY15" s="636"/>
      <c r="AZ15" s="637"/>
      <c r="BA15" s="638"/>
      <c r="BB15" s="639"/>
      <c r="BC15" s="640"/>
      <c r="BD15" s="640"/>
      <c r="BE15" s="641"/>
      <c r="BF15" s="642">
        <v>6</v>
      </c>
      <c r="BG15" s="1410"/>
      <c r="BH15" s="1413"/>
      <c r="BI15" s="1412"/>
      <c r="BJ15" s="1426">
        <v>7</v>
      </c>
      <c r="BK15" s="1414"/>
      <c r="BL15" s="1442"/>
      <c r="BM15" s="1441">
        <v>8</v>
      </c>
      <c r="BN15" s="689"/>
      <c r="BO15" s="646">
        <v>9</v>
      </c>
      <c r="BP15" s="1411"/>
      <c r="BQ15" s="1413"/>
      <c r="BR15" s="1415"/>
      <c r="BS15" s="1436" t="s">
        <v>370</v>
      </c>
      <c r="BT15" s="634"/>
      <c r="BU15" s="1435"/>
      <c r="BV15" s="1434">
        <v>11</v>
      </c>
      <c r="BW15" s="649">
        <v>8</v>
      </c>
      <c r="BX15" s="650"/>
      <c r="BY15" s="641"/>
      <c r="BZ15" s="651"/>
      <c r="CA15" s="652">
        <v>10</v>
      </c>
      <c r="CB15" s="653">
        <v>9</v>
      </c>
      <c r="CC15" s="615"/>
      <c r="CD15" s="599"/>
      <c r="CE15" s="599"/>
      <c r="CF15" s="654"/>
      <c r="CG15" s="599"/>
      <c r="CH15" s="655"/>
      <c r="CI15" s="599"/>
      <c r="CJ15" s="656"/>
      <c r="CK15" s="657"/>
      <c r="CL15" s="658"/>
      <c r="CM15" s="657"/>
      <c r="CN15" s="659"/>
      <c r="CO15" s="656"/>
      <c r="CP15" s="657"/>
      <c r="CQ15" s="658"/>
      <c r="CR15" s="657"/>
      <c r="CS15" s="659"/>
      <c r="CT15" s="660"/>
      <c r="CU15" s="661"/>
      <c r="CV15" s="662"/>
      <c r="CW15" s="663"/>
      <c r="CX15" s="662"/>
      <c r="CY15" s="663"/>
      <c r="CZ15" s="662"/>
      <c r="DA15" s="663"/>
      <c r="DB15" s="664"/>
      <c r="DC15" s="665"/>
      <c r="DD15" s="665"/>
      <c r="DE15" s="615"/>
      <c r="DF15" s="615"/>
      <c r="DG15" s="615"/>
      <c r="DH15" s="615"/>
      <c r="DI15" s="615"/>
      <c r="DJ15" s="615"/>
      <c r="DK15" s="641"/>
      <c r="DL15" s="657"/>
      <c r="DM15" s="666"/>
      <c r="DN15" s="599"/>
      <c r="DO15" s="667"/>
      <c r="DP15" s="666"/>
      <c r="DQ15" s="659"/>
      <c r="DR15" s="668"/>
      <c r="DS15" s="669"/>
      <c r="DT15" s="670"/>
      <c r="DU15" s="671"/>
      <c r="DV15" s="672"/>
      <c r="DW15" s="632"/>
      <c r="DX15" s="634"/>
      <c r="DY15" s="634"/>
      <c r="DZ15" s="634"/>
      <c r="EA15" s="673"/>
      <c r="EB15" s="634"/>
      <c r="EC15" s="674"/>
      <c r="ED15" s="632"/>
      <c r="EE15" s="634"/>
      <c r="EF15" s="634"/>
      <c r="EG15" s="634"/>
      <c r="EH15" s="673"/>
      <c r="EI15" s="599"/>
      <c r="EJ15" s="656"/>
      <c r="EK15" s="675"/>
      <c r="EL15" s="671"/>
      <c r="EM15" s="676"/>
      <c r="EN15" s="676"/>
      <c r="EO15" s="676"/>
      <c r="EP15" s="676"/>
      <c r="EQ15" s="676"/>
      <c r="ER15" s="676"/>
      <c r="ES15" s="676"/>
      <c r="ET15" s="676"/>
      <c r="EU15" s="676"/>
      <c r="EV15" s="676"/>
      <c r="EW15" s="676"/>
      <c r="EX15" s="676"/>
      <c r="EY15" s="676"/>
      <c r="EZ15" s="676"/>
      <c r="FA15" s="676"/>
      <c r="FB15" s="676"/>
      <c r="FC15" s="676"/>
      <c r="FD15" s="676"/>
      <c r="FE15" s="676"/>
      <c r="FF15" s="676"/>
      <c r="FG15" s="676"/>
      <c r="FH15" s="676"/>
      <c r="FI15" s="676"/>
      <c r="FJ15" s="676"/>
      <c r="FK15" s="677"/>
      <c r="FL15" s="677"/>
      <c r="FM15" s="677"/>
      <c r="FN15" s="677"/>
      <c r="FO15" s="677"/>
    </row>
    <row r="16" spans="1:171" s="678" customFormat="1" ht="37.5" customHeight="1" x14ac:dyDescent="0.2">
      <c r="A16" s="599">
        <v>108</v>
      </c>
      <c r="B16" s="600">
        <v>1</v>
      </c>
      <c r="C16" s="599"/>
      <c r="D16" s="599" t="str">
        <f t="shared" ref="D16:D27" si="0">IF(F16="Nam","Ông","Bà")</f>
        <v>Bà</v>
      </c>
      <c r="E16" s="601" t="s">
        <v>333</v>
      </c>
      <c r="F16" s="599" t="s">
        <v>380</v>
      </c>
      <c r="G16" s="602" t="s">
        <v>280</v>
      </c>
      <c r="H16" s="603" t="s">
        <v>359</v>
      </c>
      <c r="I16" s="604" t="s">
        <v>341</v>
      </c>
      <c r="J16" s="603" t="s">
        <v>359</v>
      </c>
      <c r="K16" s="605">
        <v>1975</v>
      </c>
      <c r="L16" s="606" t="s">
        <v>451</v>
      </c>
      <c r="M16" s="607" t="str">
        <f t="shared" ref="M16:M27" si="1">IF(L16="công chức","CC",IF(L16="viên chức","VC",IF(L16="người lao động","NLĐ","- - -")))</f>
        <v>VC</v>
      </c>
      <c r="N16" s="608"/>
      <c r="O16" s="609" t="e">
        <f t="shared" ref="O16:O27" si="2">IF(AND((Q16+0)&gt;0.3,(Q16+0)&lt;1.5),"CVụ","- -")</f>
        <v>#N/A</v>
      </c>
      <c r="P16" s="610"/>
      <c r="Q16" s="611" t="e">
        <f>VLOOKUP(P16,'- DLiêu Gốc -'!$C$2:$H$115,2,0)</f>
        <v>#N/A</v>
      </c>
      <c r="R16" s="681" t="s">
        <v>64</v>
      </c>
      <c r="S16" s="682" t="s">
        <v>117</v>
      </c>
      <c r="T16" s="612" t="str">
        <f>VLOOKUP(Y16,'- DLiêu Gốc -'!$C$2:$H$60,5,0)</f>
        <v>A1</v>
      </c>
      <c r="U16" s="613" t="str">
        <f>VLOOKUP(Y16,'- DLiêu Gốc -'!$C$2:$H$60,6,0)</f>
        <v>- - -</v>
      </c>
      <c r="V16" s="683" t="s">
        <v>424</v>
      </c>
      <c r="W16" s="684" t="str">
        <f t="shared" ref="W16:W27" si="3">IF(OR(Y16="Kỹ thuật viên đánh máy",Y16="Nhân viên đánh máy",Y16="Nhân viên kỹ thuật",Y16="Nhân viên văn thư",Y16="Nhân viên phục vụ",Y16="Lái xe cơ quan",Y16="Nhân viên bảo vệ"),"Nhân viên",Y16)</f>
        <v>Giảng viên (hạng III)</v>
      </c>
      <c r="X16" s="685" t="str">
        <f t="shared" ref="X16:X27" si="4">IF(W16="Nhân viên","01.005",Z16)</f>
        <v>V.07.01.03</v>
      </c>
      <c r="Y16" s="614" t="s">
        <v>430</v>
      </c>
      <c r="Z16" s="614" t="str">
        <f>VLOOKUP(Y16,'- DLiêu Gốc -'!$C$1:$H$133,2,0)</f>
        <v>V.07.01.03</v>
      </c>
      <c r="AA16" s="615" t="str">
        <f t="shared" ref="AA16:AA27" si="5">IF(OR(AND(BC16=36,BB16=3),AND(BC16=24,BB16=2),AND(BC16=12,BB16=1)),"Đến $",IF(OR(AND(BC16&gt;36,BB16=3),AND(BC16&gt;24,BB16=2),AND(BC16&gt;12,BB16=1)),"Dừng $","Lương"))</f>
        <v>Lương</v>
      </c>
      <c r="AB16" s="616">
        <v>5</v>
      </c>
      <c r="AC16" s="617" t="str">
        <f>IF(AD16&gt;0,"/")</f>
        <v>/</v>
      </c>
      <c r="AD16" s="618">
        <f>IF(OR(BE16=0.18,BE16=0.2),12,IF(BE16=0.31,10,IF(BE16=0.33,9,IF(BE16=0.34,8,IF(BE16=0.36,6)))))</f>
        <v>9</v>
      </c>
      <c r="AE16" s="619">
        <f t="shared" ref="AE16:AE24" si="6">BD16+(AB16-1)*BE16</f>
        <v>3.66</v>
      </c>
      <c r="AF16" s="620"/>
      <c r="AG16" s="620"/>
      <c r="AH16" s="621" t="s">
        <v>341</v>
      </c>
      <c r="AI16" s="622" t="s">
        <v>359</v>
      </c>
      <c r="AJ16" s="623" t="s">
        <v>346</v>
      </c>
      <c r="AK16" s="622" t="s">
        <v>359</v>
      </c>
      <c r="AL16" s="624">
        <v>2015</v>
      </c>
      <c r="AM16" s="625"/>
      <c r="AN16" s="626"/>
      <c r="AO16" s="627">
        <f t="shared" ref="AO16:AO27" si="7">AB16+1</f>
        <v>6</v>
      </c>
      <c r="AP16" s="628" t="str">
        <f t="shared" ref="AP16:AP27" si="8">IF(AD16=AB16,"%",IF(AD16&gt;AB16,"/"))</f>
        <v>/</v>
      </c>
      <c r="AQ16" s="629">
        <f t="shared" ref="AQ16:AQ27" si="9">IF(AND(AD16=AB16,AO16=4),5,IF(AND(AD16=AB16,AO16&gt;4),AO16+1,IF(AD16&gt;AB16,AD16)))</f>
        <v>9</v>
      </c>
      <c r="AR16" s="630">
        <f t="shared" ref="AR16:AR27" si="10">IF(AD16=AB16,"%",IF(AD16&gt;AB16,AE16+BE16))</f>
        <v>3.99</v>
      </c>
      <c r="AS16" s="631"/>
      <c r="AT16" s="632" t="s">
        <v>341</v>
      </c>
      <c r="AU16" s="633" t="s">
        <v>359</v>
      </c>
      <c r="AV16" s="634" t="s">
        <v>346</v>
      </c>
      <c r="AW16" s="633" t="s">
        <v>359</v>
      </c>
      <c r="AX16" s="635">
        <v>2018</v>
      </c>
      <c r="AY16" s="636"/>
      <c r="AZ16" s="637"/>
      <c r="BA16" s="638">
        <v>3.18</v>
      </c>
      <c r="BB16" s="639">
        <f t="shared" ref="BB16:BB27" si="11">IF(AND(AD16&gt;AB16,OR(BE16=0.18,BE16=0.2)),2,IF(AND(AD16&gt;AB16,OR(BE16=0.31,BE16=0.33,BE16=0.34,BE16=0.36)),3,IF(AD16=AB16,1)))</f>
        <v>3</v>
      </c>
      <c r="BC16" s="640">
        <f t="shared" ref="BC16:BC27" si="12">12*($AA$2-AX16)+($AA$3-AV16)-AM16</f>
        <v>-24219</v>
      </c>
      <c r="BD16" s="640">
        <f>VLOOKUP(Y16,'- DLiêu Gốc -'!$C$1:$F$60,3,0)</f>
        <v>2.34</v>
      </c>
      <c r="BE16" s="641">
        <f>VLOOKUP(Y16,'- DLiêu Gốc -'!$C$1:$F$60,4,0)</f>
        <v>0.33</v>
      </c>
      <c r="BF16" s="642" t="e">
        <f t="shared" ref="BF16:BF27" si="13">IF(AND(BG16&gt;3,BY16=12),"Đến %",IF(AND(BG16&gt;3,BY16&gt;12,BY16&lt;120),"Dừng %",IF(AND(BG16&gt;3,BY16&lt;12),"PCTN","o-o-o")))</f>
        <v>#VALUE!</v>
      </c>
      <c r="BG16" s="758">
        <v>17</v>
      </c>
      <c r="BH16" s="643" t="s">
        <v>332</v>
      </c>
      <c r="BI16" s="644" t="s">
        <v>341</v>
      </c>
      <c r="BJ16" s="1426" t="s">
        <v>341</v>
      </c>
      <c r="BK16" s="2395" t="s">
        <v>359</v>
      </c>
      <c r="BL16" s="2394">
        <v>2020</v>
      </c>
      <c r="BM16" s="688"/>
      <c r="BN16" s="689"/>
      <c r="BO16" s="646"/>
      <c r="BP16" s="690">
        <f t="shared" ref="BP16:BP27" si="14">IF(BG16&gt;3,BG16+1,0)</f>
        <v>18</v>
      </c>
      <c r="BQ16" s="691" t="s">
        <v>332</v>
      </c>
      <c r="BR16" s="633" t="s">
        <v>341</v>
      </c>
      <c r="BS16" s="692" t="s">
        <v>341</v>
      </c>
      <c r="BT16" s="635" t="s">
        <v>359</v>
      </c>
      <c r="BU16" s="648">
        <v>2021</v>
      </c>
      <c r="BV16" s="648"/>
      <c r="BW16" s="649"/>
      <c r="BX16" s="650">
        <v>1</v>
      </c>
      <c r="BY16" s="641" t="e">
        <f t="shared" ref="BY16:BY27" si="15">IF(BG16&gt;3,(($BF$2-BV16)*12+($BF$3-BT16)-BN16),"- - -")</f>
        <v>#VALUE!</v>
      </c>
      <c r="BZ16" s="651" t="str">
        <f t="shared" ref="BZ16:BZ27" si="16">IF(AND(CV16="Hưu",BG16&gt;3),12-(12*(DB16-BV16)+(DA16-BT16))-BN16,"- - -")</f>
        <v>- - -</v>
      </c>
      <c r="CA16" s="652" t="str">
        <f t="shared" ref="CA16:CA27" si="17">IF(OR(S16="Ban Tổ chức - Cán bộ",S16="Văn phòng Học viện",S16="Phó Giám đốc Thường trực Học viện",S16="Phó Giám đốc Học viện"),"Chánh Văn phòng Học viện, Trưởng Ban Tổ chức - Cán bộ",IF(OR(S16="Trung tâm Ngoại ngữ",S16="Trung tâm Tin học hành chính và Công nghệ thông tin",S16="Trung tâm Tin học - Thư viện",S16="Phân viện khu vực Tây Nguyên"),"Chánh Văn phòng Học viện, Trưởng Ban Tổ chức - Cán bộ, "&amp;CONCATENATE("Giám đốc ",S16),IF(S16="Tạp chí Quản lý nhà nước","Chánh Văn phòng Học viện, Trưởng Ban Tổ chức - Cán bộ, "&amp;CONCATENATE("Tổng Biên tập ",S16),IF(S16="Văn phòng Đảng uỷ Học viện","Chánh Văn phòng Học viện, Trưởng Ban Tổ chức - Cán bộ, "&amp;CONCATENATE("Chánh",S16),IF(S16="Viện Nghiên cứu Khoa học hành chính","Chánh Văn phòng Học viện, Trưởng Ban Tổ chức - Cán bộ, "&amp;CONCATENATE("Viện Trưởng ",S16),IF(OR(S16="Cơ sở Học viện Hành chính Quốc gia khu vực miền Trung",S16="Cơ sở Học viện Hành chính Quốc gia tại Thành phố Hồ Chí Minh"),"Chánh Văn phòng Học viện, Trưởng Ban Tổ chức - Cán bộ, "&amp;CONCATENATE("Thủ trưởng ",S16),"Chánh Văn phòng Học viện, Trưởng Ban Tổ chức - Cán bộ, "&amp;CONCATENATE("Trưởng ",S16)))))))</f>
        <v>Chánh Văn phòng Học viện, Trưởng Ban Tổ chức - Cán bộ, Trưởng Ban Hợp tác quốc tế</v>
      </c>
      <c r="CB16" s="653" t="str">
        <f t="shared" ref="CB16:CB27" si="18">IF(S16="Cơ sở Học viện Hành chính khu vực miền Trung","B",IF(S16="Phân viện Khu vực Tây Nguyên","C",IF(S16="Cơ sở Học viện Hành chính tại thành phố Hồ Chí Minh","D","A")))</f>
        <v>A</v>
      </c>
      <c r="CC16" s="615" t="str">
        <f t="shared" ref="CC16:CC27" si="19">IF(AND(AO16&gt;0,AB16&lt;(AD16-1),CD16&gt;0,CD16&lt;13,OR(AND(CJ16="Cùg Ng",($CC$2-CF16)&gt;BB16),CJ16="- - -")),"Sớm TT","=&gt; s")</f>
        <v>=&gt; s</v>
      </c>
      <c r="CD16" s="599">
        <f t="shared" ref="CD16:CD27" si="20">IF(BB16=3,36-(12*($CC$2-AX16)+(12-AV16)-AM16),IF(BB16=2,24-(12*($CC$2-AX16)+(12-AV16)-AM16),"---"))</f>
        <v>24243</v>
      </c>
      <c r="CE16" s="599" t="str">
        <f t="shared" ref="CE16:CE27" si="21">IF(CF16&gt;1,"S","---")</f>
        <v>---</v>
      </c>
      <c r="CF16" s="654"/>
      <c r="CG16" s="599"/>
      <c r="CH16" s="655"/>
      <c r="CI16" s="599"/>
      <c r="CJ16" s="656" t="str">
        <f t="shared" ref="CJ16:CJ27" si="22">IF(X16=CG16,"Cùg Ng","- - -")</f>
        <v>- - -</v>
      </c>
      <c r="CK16" s="657" t="str">
        <f t="shared" ref="CK16:CK27" si="23">IF(CM16&gt;2000,"NN","- - -")</f>
        <v>- - -</v>
      </c>
      <c r="CL16" s="658"/>
      <c r="CM16" s="657"/>
      <c r="CN16" s="659"/>
      <c r="CO16" s="656"/>
      <c r="CP16" s="657" t="str">
        <f t="shared" ref="CP16:CP27" si="24">IF(CR16&gt;2000,"CN","- - -")</f>
        <v>- - -</v>
      </c>
      <c r="CQ16" s="658"/>
      <c r="CR16" s="657"/>
      <c r="CS16" s="659"/>
      <c r="CT16" s="660"/>
      <c r="CU16" s="661" t="str">
        <f t="shared" ref="CU16:CU27" si="25">IF(AND(CV16="Hưu",AB16&lt;(AD16-1),DC16&gt;0,DC16&lt;18,OR(BG16&lt;4,AND(BG16&gt;3,OR(BZ16&lt;3,BZ16&gt;5)))),"Lg Sớm",IF(AND(CV16="Hưu",AB16&gt;(AD16-2),OR(BE16=0.33,BE16=0.34),OR(BG16&lt;4,AND(BG16&gt;3,OR(BZ16&lt;3,BZ16&gt;5)))),"Nâng Ngạch",IF(AND(CV16="Hưu",BB16=1,DC16&gt;2,DC16&lt;6,OR(BG16&lt;4,AND(BG16&gt;3,OR(BZ16&lt;3,BZ16&gt;5)))),"Nâng PcVK cùng QĐ",IF(AND(CV16="Hưu",BG16&gt;3,BZ16&gt;2,BZ16&lt;6,AB16&lt;(AD16-1),DC16&gt;17,OR(BB16&gt;1,AND(BB16=1,OR(DC16&lt;3,DC16&gt;5)))),"Nâng PcNG cùng QĐ",IF(AND(CV16="Hưu",AB16&lt;(AD16-1),DC16&gt;0,DC16&lt;18,BG16&gt;3,BZ16&gt;2,BZ16&lt;6),"Nâng Lg Sớm +(PcNG cùng QĐ)",IF(AND(CV16="Hưu",AB16&gt;(AD16-2),OR(BE16=0.33,BE16=0.34),BG16&gt;3,BZ16&gt;2,BZ16&lt;6),"Nâng Ngạch +(PcNG cùng QĐ)",IF(AND(CV16="Hưu",BB16=1,DC16&gt;2,DC16&lt;6,BG16&gt;3,BZ16&gt;2,BZ16&lt;6),"Nâng (PcVK +PcNG) cùng QĐ",("---"))))))))</f>
        <v>---</v>
      </c>
      <c r="CV16" s="662" t="str">
        <f t="shared" ref="CV16:CV27" si="26">IF(AND(DG16&gt;DF16,DG16&lt;(DF16+13)),"Hưu",IF(AND(DG16&gt;(DF16+12),DG16&lt;1000),"Quá","/-/ /-/"))</f>
        <v>/-/ /-/</v>
      </c>
      <c r="CW16" s="663">
        <f t="shared" ref="CW16:CW27" si="27">IF((I16+0)&lt;12,(I16+0)+1,IF((I16+0)=12,1,IF((I16+0)&gt;12,(I16+0)-12)))</f>
        <v>2</v>
      </c>
      <c r="CX16" s="662">
        <f t="shared" ref="CX16:CX27" si="28">IF(OR((I16+0)=12,(I16+0)&gt;12),K16+DF16/12+1,IF(AND((I16+0)&gt;0,(I16+0)&lt;12),K16+DF16/12,"---"))</f>
        <v>2030</v>
      </c>
      <c r="CY16" s="663">
        <f t="shared" ref="CY16:CY27" si="29">IF(AND(CW16&gt;3,CW16&lt;13),CW16-3,IF(CW16&lt;4,CW16-3+12))</f>
        <v>11</v>
      </c>
      <c r="CZ16" s="662">
        <f t="shared" ref="CZ16:CZ27" si="30">IF(CY16&lt;CW16,CX16,IF(CY16&gt;CW16,CX16-1))</f>
        <v>2029</v>
      </c>
      <c r="DA16" s="663">
        <f t="shared" ref="DA16:DA27" si="31">IF(CW16&gt;6,CW16-6,IF(CW16=6,12,IF(CW16&lt;6,CW16+6)))</f>
        <v>8</v>
      </c>
      <c r="DB16" s="664">
        <f t="shared" ref="DB16:DB27" si="32">IF(CW16&gt;6,CX16,IF(CW16&lt;7,CX16-1))</f>
        <v>2029</v>
      </c>
      <c r="DC16" s="665" t="str">
        <f t="shared" ref="DC16:DC27" si="33">IF(AND(CV16="Hưu",BB16=3),36+AM16-(12*(DB16-AX16)+(DA16-AV16)),IF(AND(CV16="Hưu",BB16=2),24+AM16-(12*(DB16-AX16)+(DA16-AV16)),IF(AND(CV16="Hưu",BB16=1),12+AM16-(12*(DB16-AX16)+(DA16-AV16)),"- - -")))</f>
        <v>- - -</v>
      </c>
      <c r="DD16" s="665" t="str">
        <f t="shared" ref="DD16:DD27" si="34">IF(DE16&gt;0,"K.Dài",". .")</f>
        <v>. .</v>
      </c>
      <c r="DE16" s="615"/>
      <c r="DF16" s="615">
        <f t="shared" ref="DF16:DF27" si="35">IF(F16="Nam",(60+DE16)*12,IF(F16="Nữ",(55+DE16)*12,))</f>
        <v>660</v>
      </c>
      <c r="DG16" s="615">
        <f t="shared" ref="DG16:DG27" si="36">12*($CV$4-K16)+(12-I16)</f>
        <v>-23689</v>
      </c>
      <c r="DH16" s="615">
        <f t="shared" ref="DH16:DH27" si="37">$DL$4-K16</f>
        <v>-1975</v>
      </c>
      <c r="DI16" s="615" t="str">
        <f t="shared" ref="DI16:DI27" si="38">IF(AND(DH16&lt;35,F16="Nam"),"Nam dưới 35",IF(AND(DH16&lt;30,F16="Nữ"),"Nữ dưới 30",IF(AND(DH16&gt;34,DH16&lt;46,F16="Nam"),"Nam từ 35 - 45",IF(AND(DH16&gt;29,DH16&lt;41,F16="Nữ"),"Nữ từ 30 - 40",IF(AND(DH16&gt;45,DH16&lt;56,F16="Nam"),"Nam trên 45 - 55",IF(AND(DH16&gt;40,DH16&lt;51,F16="Nữ"),"Nữ trên 40 - 50",IF(AND(DH16&gt;55,F16="Nam"),"Nam trên 55","Nữ trên 50")))))))</f>
        <v>Nữ dưới 30</v>
      </c>
      <c r="DJ16" s="615"/>
      <c r="DK16" s="641"/>
      <c r="DL16" s="657" t="str">
        <f t="shared" ref="DL16:DL27" si="39">IF(DH16&lt;31,"Đến 30",IF(AND(DH16&gt;30,DH16&lt;46),"31 - 45",IF(AND(DH16&gt;45,DH16&lt;70),"Trên 45")))</f>
        <v>Đến 30</v>
      </c>
      <c r="DM16" s="666" t="str">
        <f t="shared" ref="DM16:DM24" si="40">IF(DN16&gt;0,"TD","--")</f>
        <v>--</v>
      </c>
      <c r="DN16" s="599"/>
      <c r="DO16" s="667"/>
      <c r="DP16" s="666"/>
      <c r="DQ16" s="659"/>
      <c r="DR16" s="668"/>
      <c r="DS16" s="669"/>
      <c r="DT16" s="670"/>
      <c r="DU16" s="671"/>
      <c r="DV16" s="672"/>
      <c r="DW16" s="632"/>
      <c r="DX16" s="634" t="s">
        <v>108</v>
      </c>
      <c r="DY16" s="634"/>
      <c r="DZ16" s="634" t="s">
        <v>341</v>
      </c>
      <c r="EA16" s="673" t="s">
        <v>359</v>
      </c>
      <c r="EB16" s="634" t="s">
        <v>346</v>
      </c>
      <c r="EC16" s="674" t="s">
        <v>359</v>
      </c>
      <c r="ED16" s="632" t="s">
        <v>377</v>
      </c>
      <c r="EE16" s="634">
        <f t="shared" ref="EE16:EE27" si="41">(DZ16+0)-(EG16+0)</f>
        <v>0</v>
      </c>
      <c r="EF16" s="634" t="str">
        <f t="shared" ref="EF16:EF27" si="42">IF(EE16&gt;0,"Sửa","- - -")</f>
        <v>- - -</v>
      </c>
      <c r="EG16" s="634" t="s">
        <v>341</v>
      </c>
      <c r="EH16" s="673" t="s">
        <v>359</v>
      </c>
      <c r="EI16" s="599" t="s">
        <v>346</v>
      </c>
      <c r="EJ16" s="656" t="s">
        <v>359</v>
      </c>
      <c r="EK16" s="675" t="s">
        <v>377</v>
      </c>
      <c r="EL16" s="671"/>
      <c r="EM16" s="676" t="str">
        <f t="shared" ref="EM16:EM27" si="43">IF(AND(BE16&gt;0.34,AO16=1,OR(BD16=6.2,BD16=5.75)),((BD16-EL16)-2*0.34),IF(AND(BE16&gt;0.33,AO16=1,OR(BD16=4.4,BD16=4)),((BD16-EL16)-2*0.33),"- - -"))</f>
        <v>- - -</v>
      </c>
      <c r="EN16" s="676" t="str">
        <f t="shared" ref="EN16:EN27" si="44">IF(CV16="Hưu",12*(DB16-AX16)+(DA16-AV16),"---")</f>
        <v>---</v>
      </c>
      <c r="EO16" s="676"/>
      <c r="EP16" s="676"/>
      <c r="EQ16" s="676"/>
      <c r="ER16" s="676"/>
      <c r="ES16" s="676"/>
      <c r="ET16" s="676"/>
      <c r="EU16" s="676"/>
      <c r="EV16" s="676"/>
      <c r="EW16" s="676"/>
      <c r="EX16" s="676"/>
      <c r="EY16" s="676"/>
      <c r="EZ16" s="676"/>
      <c r="FA16" s="676"/>
      <c r="FB16" s="676"/>
      <c r="FC16" s="676"/>
      <c r="FD16" s="676"/>
      <c r="FE16" s="676"/>
      <c r="FF16" s="676"/>
      <c r="FG16" s="676"/>
      <c r="FH16" s="676"/>
      <c r="FI16" s="676"/>
      <c r="FJ16" s="676"/>
      <c r="FK16" s="677"/>
      <c r="FL16" s="677"/>
      <c r="FM16" s="677"/>
      <c r="FN16" s="677"/>
      <c r="FO16" s="677"/>
    </row>
    <row r="17" spans="1:171" s="678" customFormat="1" ht="37.5" customHeight="1" x14ac:dyDescent="0.2">
      <c r="A17" s="599">
        <v>444</v>
      </c>
      <c r="B17" s="600">
        <v>2</v>
      </c>
      <c r="C17" s="599"/>
      <c r="D17" s="599" t="s">
        <v>134</v>
      </c>
      <c r="E17" s="601" t="s">
        <v>135</v>
      </c>
      <c r="F17" s="599" t="s">
        <v>380</v>
      </c>
      <c r="G17" s="602" t="s">
        <v>274</v>
      </c>
      <c r="H17" s="603" t="s">
        <v>359</v>
      </c>
      <c r="I17" s="604" t="s">
        <v>370</v>
      </c>
      <c r="J17" s="603" t="s">
        <v>359</v>
      </c>
      <c r="K17" s="605">
        <v>1983</v>
      </c>
      <c r="L17" s="606" t="s">
        <v>451</v>
      </c>
      <c r="M17" s="607" t="s">
        <v>455</v>
      </c>
      <c r="N17" s="608"/>
      <c r="O17" s="609" t="e">
        <v>#N/A</v>
      </c>
      <c r="P17" s="610"/>
      <c r="Q17" s="611" t="e">
        <v>#N/A</v>
      </c>
      <c r="R17" s="681" t="s">
        <v>64</v>
      </c>
      <c r="S17" s="682" t="s">
        <v>117</v>
      </c>
      <c r="T17" s="612" t="s">
        <v>94</v>
      </c>
      <c r="U17" s="613" t="s">
        <v>205</v>
      </c>
      <c r="V17" s="683" t="s">
        <v>615</v>
      </c>
      <c r="W17" s="684" t="s">
        <v>430</v>
      </c>
      <c r="X17" s="685" t="s">
        <v>426</v>
      </c>
      <c r="Y17" s="614" t="s">
        <v>430</v>
      </c>
      <c r="Z17" s="614" t="s">
        <v>426</v>
      </c>
      <c r="AA17" s="615" t="s">
        <v>410</v>
      </c>
      <c r="AB17" s="616">
        <v>3</v>
      </c>
      <c r="AC17" s="617" t="s">
        <v>359</v>
      </c>
      <c r="AD17" s="618">
        <v>9</v>
      </c>
      <c r="AE17" s="619">
        <v>3</v>
      </c>
      <c r="AF17" s="620"/>
      <c r="AG17" s="620"/>
      <c r="AH17" s="621" t="s">
        <v>341</v>
      </c>
      <c r="AI17" s="622" t="s">
        <v>359</v>
      </c>
      <c r="AJ17" s="623" t="s">
        <v>341</v>
      </c>
      <c r="AK17" s="622" t="s">
        <v>359</v>
      </c>
      <c r="AL17" s="624">
        <v>2016</v>
      </c>
      <c r="AM17" s="625"/>
      <c r="AN17" s="626"/>
      <c r="AO17" s="627">
        <v>4</v>
      </c>
      <c r="AP17" s="628" t="s">
        <v>359</v>
      </c>
      <c r="AQ17" s="629">
        <v>9</v>
      </c>
      <c r="AR17" s="630">
        <v>3.33</v>
      </c>
      <c r="AS17" s="631"/>
      <c r="AT17" s="632" t="s">
        <v>341</v>
      </c>
      <c r="AU17" s="633" t="s">
        <v>359</v>
      </c>
      <c r="AV17" s="634" t="s">
        <v>341</v>
      </c>
      <c r="AW17" s="633" t="s">
        <v>359</v>
      </c>
      <c r="AX17" s="635">
        <v>2019</v>
      </c>
      <c r="AY17" s="636"/>
      <c r="AZ17" s="637" t="s">
        <v>649</v>
      </c>
      <c r="BA17" s="638"/>
      <c r="BB17" s="639">
        <v>3</v>
      </c>
      <c r="BC17" s="640">
        <v>-24229</v>
      </c>
      <c r="BD17" s="640">
        <v>2.34</v>
      </c>
      <c r="BE17" s="641">
        <v>0.33</v>
      </c>
      <c r="BF17" s="642" t="e">
        <v>#VALUE!</v>
      </c>
      <c r="BG17" s="758">
        <v>10</v>
      </c>
      <c r="BH17" s="643" t="s">
        <v>332</v>
      </c>
      <c r="BI17" s="644" t="s">
        <v>341</v>
      </c>
      <c r="BJ17" s="1426" t="s">
        <v>341</v>
      </c>
      <c r="BK17" s="2395" t="s">
        <v>359</v>
      </c>
      <c r="BL17" s="2394">
        <v>2020</v>
      </c>
      <c r="BM17" s="688"/>
      <c r="BN17" s="689"/>
      <c r="BO17" s="646"/>
      <c r="BP17" s="690">
        <v>11</v>
      </c>
      <c r="BQ17" s="691" t="s">
        <v>332</v>
      </c>
      <c r="BR17" s="633" t="s">
        <v>341</v>
      </c>
      <c r="BS17" s="692" t="s">
        <v>341</v>
      </c>
      <c r="BT17" s="635" t="s">
        <v>359</v>
      </c>
      <c r="BU17" s="648">
        <v>2021</v>
      </c>
      <c r="BV17" s="648"/>
      <c r="BW17" s="649"/>
      <c r="BX17" s="650">
        <v>1</v>
      </c>
      <c r="BY17" s="641" t="e">
        <v>#VALUE!</v>
      </c>
      <c r="BZ17" s="651" t="s">
        <v>205</v>
      </c>
      <c r="CA17" s="652" t="s">
        <v>586</v>
      </c>
      <c r="CB17" s="653" t="s">
        <v>360</v>
      </c>
      <c r="CC17" s="615" t="s">
        <v>263</v>
      </c>
      <c r="CD17" s="599">
        <v>24253</v>
      </c>
      <c r="CE17" s="599" t="s">
        <v>105</v>
      </c>
      <c r="CF17" s="654"/>
      <c r="CG17" s="599"/>
      <c r="CH17" s="655"/>
      <c r="CI17" s="599"/>
      <c r="CJ17" s="656" t="s">
        <v>205</v>
      </c>
      <c r="CK17" s="657" t="s">
        <v>205</v>
      </c>
      <c r="CL17" s="658"/>
      <c r="CM17" s="657"/>
      <c r="CN17" s="659"/>
      <c r="CO17" s="656"/>
      <c r="CP17" s="657" t="s">
        <v>205</v>
      </c>
      <c r="CQ17" s="658"/>
      <c r="CR17" s="657"/>
      <c r="CS17" s="659"/>
      <c r="CT17" s="660"/>
      <c r="CU17" s="661" t="s">
        <v>105</v>
      </c>
      <c r="CV17" s="662" t="s">
        <v>45</v>
      </c>
      <c r="CW17" s="663">
        <v>11</v>
      </c>
      <c r="CX17" s="662">
        <v>2038</v>
      </c>
      <c r="CY17" s="663">
        <v>8</v>
      </c>
      <c r="CZ17" s="662">
        <v>2038</v>
      </c>
      <c r="DA17" s="663">
        <v>5</v>
      </c>
      <c r="DB17" s="664">
        <v>2038</v>
      </c>
      <c r="DC17" s="665" t="s">
        <v>205</v>
      </c>
      <c r="DD17" s="665" t="s">
        <v>195</v>
      </c>
      <c r="DE17" s="615"/>
      <c r="DF17" s="615">
        <v>660</v>
      </c>
      <c r="DG17" s="615">
        <v>-23794</v>
      </c>
      <c r="DH17" s="615">
        <v>-1983</v>
      </c>
      <c r="DI17" s="615" t="s">
        <v>407</v>
      </c>
      <c r="DJ17" s="615"/>
      <c r="DK17" s="641"/>
      <c r="DL17" s="657" t="s">
        <v>196</v>
      </c>
      <c r="DM17" s="666"/>
      <c r="DN17" s="599" t="s">
        <v>197</v>
      </c>
      <c r="DO17" s="667"/>
      <c r="DP17" s="666"/>
      <c r="DQ17" s="659"/>
      <c r="DR17" s="668"/>
      <c r="DS17" s="669"/>
      <c r="DT17" s="670"/>
      <c r="DU17" s="671"/>
      <c r="DV17" s="672"/>
      <c r="DW17" s="632"/>
      <c r="DX17" s="634" t="s">
        <v>120</v>
      </c>
      <c r="DY17" s="634"/>
      <c r="DZ17" s="634" t="s">
        <v>341</v>
      </c>
      <c r="EA17" s="673" t="s">
        <v>359</v>
      </c>
      <c r="EB17" s="634" t="s">
        <v>341</v>
      </c>
      <c r="EC17" s="674" t="s">
        <v>359</v>
      </c>
      <c r="ED17" s="632">
        <v>2013</v>
      </c>
      <c r="EE17" s="634">
        <v>0</v>
      </c>
      <c r="EF17" s="634" t="s">
        <v>205</v>
      </c>
      <c r="EG17" s="634" t="s">
        <v>341</v>
      </c>
      <c r="EH17" s="673" t="s">
        <v>359</v>
      </c>
      <c r="EI17" s="599" t="s">
        <v>341</v>
      </c>
      <c r="EJ17" s="656" t="s">
        <v>359</v>
      </c>
      <c r="EK17" s="675">
        <v>2013</v>
      </c>
      <c r="EL17" s="671"/>
      <c r="EM17" s="676" t="s">
        <v>205</v>
      </c>
      <c r="EN17" s="676" t="s">
        <v>105</v>
      </c>
      <c r="EO17" s="676"/>
      <c r="EP17" s="676"/>
      <c r="EQ17" s="676"/>
      <c r="ER17" s="676"/>
      <c r="ES17" s="676"/>
      <c r="ET17" s="676"/>
      <c r="EU17" s="676"/>
      <c r="EV17" s="676"/>
      <c r="EW17" s="676"/>
      <c r="EX17" s="676"/>
      <c r="EY17" s="676"/>
      <c r="EZ17" s="676"/>
      <c r="FA17" s="676"/>
      <c r="FB17" s="676"/>
      <c r="FC17" s="676"/>
      <c r="FD17" s="676"/>
      <c r="FE17" s="676"/>
      <c r="FF17" s="676"/>
      <c r="FG17" s="676"/>
      <c r="FH17" s="676"/>
      <c r="FI17" s="676"/>
      <c r="FJ17" s="676"/>
      <c r="FK17" s="677"/>
      <c r="FL17" s="677"/>
      <c r="FM17" s="677"/>
      <c r="FN17" s="677"/>
      <c r="FO17" s="677"/>
    </row>
    <row r="18" spans="1:171" s="678" customFormat="1" ht="37.5" customHeight="1" x14ac:dyDescent="0.2">
      <c r="A18" s="599">
        <v>780</v>
      </c>
      <c r="B18" s="600">
        <v>3</v>
      </c>
      <c r="C18" s="599"/>
      <c r="D18" s="599" t="str">
        <f t="shared" si="0"/>
        <v>Bà</v>
      </c>
      <c r="E18" s="601" t="s">
        <v>28</v>
      </c>
      <c r="F18" s="599" t="s">
        <v>380</v>
      </c>
      <c r="G18" s="602" t="s">
        <v>327</v>
      </c>
      <c r="H18" s="603" t="s">
        <v>359</v>
      </c>
      <c r="I18" s="604" t="s">
        <v>371</v>
      </c>
      <c r="J18" s="603" t="s">
        <v>359</v>
      </c>
      <c r="K18" s="605" t="s">
        <v>308</v>
      </c>
      <c r="L18" s="606" t="s">
        <v>451</v>
      </c>
      <c r="M18" s="607" t="str">
        <f t="shared" si="1"/>
        <v>VC</v>
      </c>
      <c r="N18" s="608"/>
      <c r="O18" s="609" t="e">
        <f t="shared" si="2"/>
        <v>#N/A</v>
      </c>
      <c r="P18" s="610"/>
      <c r="Q18" s="611" t="e">
        <f>VLOOKUP(P18,'- DLiêu Gốc -'!$C$2:$H$115,2,0)</f>
        <v>#N/A</v>
      </c>
      <c r="R18" s="681" t="s">
        <v>129</v>
      </c>
      <c r="S18" s="682" t="s">
        <v>562</v>
      </c>
      <c r="T18" s="612" t="str">
        <f>VLOOKUP(Y18,'- DLiêu Gốc -'!$C$2:$H$60,5,0)</f>
        <v>A1</v>
      </c>
      <c r="U18" s="613" t="str">
        <f>VLOOKUP(Y18,'- DLiêu Gốc -'!$C$2:$H$60,6,0)</f>
        <v>- - -</v>
      </c>
      <c r="V18" s="683" t="s">
        <v>424</v>
      </c>
      <c r="W18" s="684" t="str">
        <f t="shared" si="3"/>
        <v>Giảng viên (hạng III)</v>
      </c>
      <c r="X18" s="685" t="str">
        <f t="shared" si="4"/>
        <v>V.07.01.03</v>
      </c>
      <c r="Y18" s="614" t="s">
        <v>430</v>
      </c>
      <c r="Z18" s="614" t="str">
        <f>VLOOKUP(Y18,'- DLiêu Gốc -'!$C$1:$H$133,2,0)</f>
        <v>V.07.01.03</v>
      </c>
      <c r="AA18" s="615" t="str">
        <f t="shared" si="5"/>
        <v>Lương</v>
      </c>
      <c r="AB18" s="616">
        <v>7</v>
      </c>
      <c r="AC18" s="617" t="s">
        <v>359</v>
      </c>
      <c r="AD18" s="618">
        <v>9</v>
      </c>
      <c r="AE18" s="619">
        <f t="shared" si="6"/>
        <v>4.32</v>
      </c>
      <c r="AF18" s="620"/>
      <c r="AG18" s="620"/>
      <c r="AH18" s="621"/>
      <c r="AI18" s="622" t="s">
        <v>359</v>
      </c>
      <c r="AJ18" s="623"/>
      <c r="AK18" s="622" t="s">
        <v>359</v>
      </c>
      <c r="AL18" s="624"/>
      <c r="AM18" s="625"/>
      <c r="AN18" s="626"/>
      <c r="AO18" s="627">
        <f t="shared" si="7"/>
        <v>8</v>
      </c>
      <c r="AP18" s="628" t="str">
        <f t="shared" si="8"/>
        <v>/</v>
      </c>
      <c r="AQ18" s="629">
        <f t="shared" si="9"/>
        <v>9</v>
      </c>
      <c r="AR18" s="630">
        <f t="shared" si="10"/>
        <v>4.6500000000000004</v>
      </c>
      <c r="AS18" s="631"/>
      <c r="AT18" s="632" t="s">
        <v>341</v>
      </c>
      <c r="AU18" s="633" t="s">
        <v>359</v>
      </c>
      <c r="AV18" s="634" t="s">
        <v>370</v>
      </c>
      <c r="AW18" s="633" t="s">
        <v>359</v>
      </c>
      <c r="AX18" s="635">
        <v>2020</v>
      </c>
      <c r="AY18" s="636"/>
      <c r="AZ18" s="637" t="s">
        <v>610</v>
      </c>
      <c r="BA18" s="638"/>
      <c r="BB18" s="639">
        <f t="shared" si="11"/>
        <v>3</v>
      </c>
      <c r="BC18" s="640">
        <f t="shared" si="12"/>
        <v>-24250</v>
      </c>
      <c r="BD18" s="640">
        <f>VLOOKUP(Y18,'- DLiêu Gốc -'!$C$1:$F$60,3,0)</f>
        <v>2.34</v>
      </c>
      <c r="BE18" s="641">
        <f>VLOOKUP(Y18,'- DLiêu Gốc -'!$C$1:$F$60,4,0)</f>
        <v>0.33</v>
      </c>
      <c r="BF18" s="642" t="e">
        <f t="shared" si="13"/>
        <v>#VALUE!</v>
      </c>
      <c r="BG18" s="758">
        <v>10</v>
      </c>
      <c r="BH18" s="643" t="s">
        <v>332</v>
      </c>
      <c r="BI18" s="644" t="s">
        <v>341</v>
      </c>
      <c r="BJ18" s="1426" t="s">
        <v>341</v>
      </c>
      <c r="BK18" s="2395" t="s">
        <v>359</v>
      </c>
      <c r="BL18" s="2394">
        <v>2020</v>
      </c>
      <c r="BM18" s="688"/>
      <c r="BN18" s="689"/>
      <c r="BO18" s="646"/>
      <c r="BP18" s="690">
        <f t="shared" si="14"/>
        <v>11</v>
      </c>
      <c r="BQ18" s="691" t="s">
        <v>332</v>
      </c>
      <c r="BR18" s="633" t="s">
        <v>341</v>
      </c>
      <c r="BS18" s="692" t="s">
        <v>341</v>
      </c>
      <c r="BT18" s="635" t="s">
        <v>359</v>
      </c>
      <c r="BU18" s="648">
        <v>2021</v>
      </c>
      <c r="BV18" s="648"/>
      <c r="BW18" s="649"/>
      <c r="BX18" s="650">
        <v>1</v>
      </c>
      <c r="BY18" s="641" t="e">
        <f t="shared" si="15"/>
        <v>#VALUE!</v>
      </c>
      <c r="BZ18" s="651" t="str">
        <f t="shared" si="16"/>
        <v>- - -</v>
      </c>
      <c r="CA18" s="652" t="str">
        <f t="shared" si="17"/>
        <v>Chánh Văn phòng Học viện, Trưởng Ban Tổ chức - Cán bộ, Trưởng Khoa Nhà nước - Pháp luật và Lý luận cơ sở</v>
      </c>
      <c r="CB18" s="653" t="str">
        <f t="shared" si="18"/>
        <v>A</v>
      </c>
      <c r="CC18" s="615" t="str">
        <f t="shared" si="19"/>
        <v>=&gt; s</v>
      </c>
      <c r="CD18" s="599">
        <f t="shared" si="20"/>
        <v>24274</v>
      </c>
      <c r="CE18" s="599" t="str">
        <f t="shared" si="21"/>
        <v>S</v>
      </c>
      <c r="CF18" s="654">
        <v>2017</v>
      </c>
      <c r="CG18" s="599" t="s">
        <v>426</v>
      </c>
      <c r="CH18" s="655"/>
      <c r="CI18" s="599"/>
      <c r="CJ18" s="656" t="str">
        <f t="shared" si="22"/>
        <v>Cùg Ng</v>
      </c>
      <c r="CK18" s="657" t="str">
        <f t="shared" si="23"/>
        <v>- - -</v>
      </c>
      <c r="CL18" s="658"/>
      <c r="CM18" s="657"/>
      <c r="CN18" s="659"/>
      <c r="CO18" s="656"/>
      <c r="CP18" s="657" t="str">
        <f t="shared" si="24"/>
        <v>- - -</v>
      </c>
      <c r="CQ18" s="658"/>
      <c r="CR18" s="657"/>
      <c r="CS18" s="659"/>
      <c r="CT18" s="660"/>
      <c r="CU18" s="661" t="str">
        <f t="shared" si="25"/>
        <v>---</v>
      </c>
      <c r="CV18" s="662" t="str">
        <f t="shared" si="26"/>
        <v>/-/ /-/</v>
      </c>
      <c r="CW18" s="663">
        <f t="shared" si="27"/>
        <v>12</v>
      </c>
      <c r="CX18" s="662">
        <f t="shared" si="28"/>
        <v>2032</v>
      </c>
      <c r="CY18" s="663">
        <f t="shared" si="29"/>
        <v>9</v>
      </c>
      <c r="CZ18" s="662">
        <f t="shared" si="30"/>
        <v>2032</v>
      </c>
      <c r="DA18" s="663">
        <f t="shared" si="31"/>
        <v>6</v>
      </c>
      <c r="DB18" s="664">
        <f t="shared" si="32"/>
        <v>2032</v>
      </c>
      <c r="DC18" s="665" t="str">
        <f t="shared" si="33"/>
        <v>- - -</v>
      </c>
      <c r="DD18" s="665" t="str">
        <f t="shared" si="34"/>
        <v>. .</v>
      </c>
      <c r="DE18" s="615"/>
      <c r="DF18" s="615">
        <f t="shared" si="35"/>
        <v>660</v>
      </c>
      <c r="DG18" s="615">
        <f t="shared" si="36"/>
        <v>-23723</v>
      </c>
      <c r="DH18" s="615">
        <f t="shared" si="37"/>
        <v>-1977</v>
      </c>
      <c r="DI18" s="615" t="str">
        <f t="shared" si="38"/>
        <v>Nữ dưới 30</v>
      </c>
      <c r="DJ18" s="615"/>
      <c r="DK18" s="641"/>
      <c r="DL18" s="657" t="str">
        <f t="shared" si="39"/>
        <v>Đến 30</v>
      </c>
      <c r="DM18" s="666" t="str">
        <f t="shared" si="40"/>
        <v>TD</v>
      </c>
      <c r="DN18" s="599">
        <v>2008</v>
      </c>
      <c r="DO18" s="667"/>
      <c r="DP18" s="666"/>
      <c r="DQ18" s="659"/>
      <c r="DR18" s="668"/>
      <c r="DS18" s="669"/>
      <c r="DT18" s="670"/>
      <c r="DU18" s="671"/>
      <c r="DV18" s="672"/>
      <c r="DW18" s="632" t="s">
        <v>129</v>
      </c>
      <c r="DX18" s="634" t="s">
        <v>110</v>
      </c>
      <c r="DY18" s="634" t="s">
        <v>129</v>
      </c>
      <c r="DZ18" s="634" t="s">
        <v>341</v>
      </c>
      <c r="EA18" s="673" t="s">
        <v>359</v>
      </c>
      <c r="EB18" s="634" t="s">
        <v>376</v>
      </c>
      <c r="EC18" s="674" t="s">
        <v>359</v>
      </c>
      <c r="ED18" s="632">
        <v>2012</v>
      </c>
      <c r="EE18" s="634">
        <f t="shared" si="41"/>
        <v>0</v>
      </c>
      <c r="EF18" s="634" t="str">
        <f t="shared" si="42"/>
        <v>- - -</v>
      </c>
      <c r="EG18" s="634" t="s">
        <v>341</v>
      </c>
      <c r="EH18" s="673" t="s">
        <v>359</v>
      </c>
      <c r="EI18" s="599" t="s">
        <v>376</v>
      </c>
      <c r="EJ18" s="656" t="s">
        <v>359</v>
      </c>
      <c r="EK18" s="675">
        <v>2012</v>
      </c>
      <c r="EL18" s="671"/>
      <c r="EM18" s="676" t="str">
        <f t="shared" si="43"/>
        <v>- - -</v>
      </c>
      <c r="EN18" s="676" t="str">
        <f t="shared" si="44"/>
        <v>---</v>
      </c>
      <c r="EO18" s="676"/>
      <c r="EP18" s="676"/>
      <c r="EQ18" s="676"/>
      <c r="ER18" s="676"/>
      <c r="ES18" s="676"/>
      <c r="ET18" s="676"/>
      <c r="EU18" s="676"/>
      <c r="EV18" s="676"/>
      <c r="EW18" s="676"/>
      <c r="EX18" s="676"/>
      <c r="EY18" s="676"/>
      <c r="EZ18" s="676"/>
      <c r="FA18" s="676"/>
      <c r="FB18" s="676"/>
      <c r="FC18" s="676"/>
      <c r="FD18" s="676"/>
      <c r="FE18" s="676"/>
      <c r="FF18" s="676"/>
      <c r="FG18" s="676"/>
      <c r="FH18" s="676"/>
      <c r="FI18" s="676"/>
      <c r="FJ18" s="676"/>
      <c r="FK18" s="677"/>
      <c r="FL18" s="677"/>
      <c r="FM18" s="677"/>
      <c r="FN18" s="677"/>
      <c r="FO18" s="677"/>
    </row>
    <row r="19" spans="1:171" s="678" customFormat="1" ht="37.5" customHeight="1" x14ac:dyDescent="0.2">
      <c r="A19" s="599">
        <v>1116</v>
      </c>
      <c r="B19" s="600">
        <v>4</v>
      </c>
      <c r="C19" s="599"/>
      <c r="D19" s="599" t="str">
        <f t="shared" si="0"/>
        <v>Bà</v>
      </c>
      <c r="E19" s="601" t="s">
        <v>27</v>
      </c>
      <c r="F19" s="599" t="s">
        <v>380</v>
      </c>
      <c r="G19" s="602" t="s">
        <v>373</v>
      </c>
      <c r="H19" s="603" t="s">
        <v>359</v>
      </c>
      <c r="I19" s="604" t="s">
        <v>349</v>
      </c>
      <c r="J19" s="603" t="s">
        <v>359</v>
      </c>
      <c r="K19" s="605" t="s">
        <v>400</v>
      </c>
      <c r="L19" s="606" t="s">
        <v>451</v>
      </c>
      <c r="M19" s="607" t="str">
        <f t="shared" si="1"/>
        <v>VC</v>
      </c>
      <c r="N19" s="608"/>
      <c r="O19" s="609" t="str">
        <f t="shared" si="2"/>
        <v>CVụ</v>
      </c>
      <c r="P19" s="610" t="s">
        <v>249</v>
      </c>
      <c r="Q19" s="611">
        <f>VLOOKUP(P19,'- DLiêu Gốc -'!$C$2:$H$115,2,0)</f>
        <v>0.6</v>
      </c>
      <c r="R19" s="681" t="s">
        <v>130</v>
      </c>
      <c r="S19" s="682" t="s">
        <v>562</v>
      </c>
      <c r="T19" s="612" t="str">
        <f>VLOOKUP(Y19,'- DLiêu Gốc -'!$C$2:$H$60,5,0)</f>
        <v>A1</v>
      </c>
      <c r="U19" s="613" t="str">
        <f>VLOOKUP(Y19,'- DLiêu Gốc -'!$C$2:$H$60,6,0)</f>
        <v>- - -</v>
      </c>
      <c r="V19" s="683" t="s">
        <v>424</v>
      </c>
      <c r="W19" s="684" t="str">
        <f t="shared" si="3"/>
        <v>Giảng viên (hạng III)</v>
      </c>
      <c r="X19" s="685" t="str">
        <f t="shared" si="4"/>
        <v>V.07.01.03</v>
      </c>
      <c r="Y19" s="614" t="s">
        <v>430</v>
      </c>
      <c r="Z19" s="614" t="str">
        <f>VLOOKUP(Y19,'- DLiêu Gốc -'!$C$1:$H$133,2,0)</f>
        <v>V.07.01.03</v>
      </c>
      <c r="AA19" s="615" t="str">
        <f t="shared" si="5"/>
        <v>Lương</v>
      </c>
      <c r="AB19" s="616">
        <v>5</v>
      </c>
      <c r="AC19" s="617" t="str">
        <f>IF(AD19&gt;0,"/")</f>
        <v>/</v>
      </c>
      <c r="AD19" s="618">
        <f>IF(OR(BE19=0.18,BE19=0.2),12,IF(BE19=0.31,10,IF(BE19=0.33,9,IF(BE19=0.34,8,IF(BE19=0.36,6)))))</f>
        <v>9</v>
      </c>
      <c r="AE19" s="619">
        <f t="shared" si="6"/>
        <v>3.66</v>
      </c>
      <c r="AF19" s="620"/>
      <c r="AG19" s="620"/>
      <c r="AH19" s="621"/>
      <c r="AI19" s="622" t="s">
        <v>359</v>
      </c>
      <c r="AJ19" s="623"/>
      <c r="AK19" s="622" t="s">
        <v>359</v>
      </c>
      <c r="AL19" s="624"/>
      <c r="AM19" s="625"/>
      <c r="AN19" s="626"/>
      <c r="AO19" s="627">
        <f t="shared" si="7"/>
        <v>6</v>
      </c>
      <c r="AP19" s="628" t="str">
        <f t="shared" si="8"/>
        <v>/</v>
      </c>
      <c r="AQ19" s="629">
        <f t="shared" si="9"/>
        <v>9</v>
      </c>
      <c r="AR19" s="630">
        <f t="shared" si="10"/>
        <v>3.99</v>
      </c>
      <c r="AS19" s="631"/>
      <c r="AT19" s="632" t="s">
        <v>341</v>
      </c>
      <c r="AU19" s="633" t="s">
        <v>359</v>
      </c>
      <c r="AV19" s="634" t="s">
        <v>376</v>
      </c>
      <c r="AW19" s="633" t="s">
        <v>359</v>
      </c>
      <c r="AX19" s="635">
        <v>2018</v>
      </c>
      <c r="AY19" s="636"/>
      <c r="AZ19" s="637"/>
      <c r="BA19" s="638"/>
      <c r="BB19" s="639">
        <f t="shared" si="11"/>
        <v>3</v>
      </c>
      <c r="BC19" s="640">
        <f t="shared" si="12"/>
        <v>-24220</v>
      </c>
      <c r="BD19" s="640">
        <f>VLOOKUP(Y19,'- DLiêu Gốc -'!$C$1:$F$60,3,0)</f>
        <v>2.34</v>
      </c>
      <c r="BE19" s="641">
        <f>VLOOKUP(Y19,'- DLiêu Gốc -'!$C$1:$F$60,4,0)</f>
        <v>0.33</v>
      </c>
      <c r="BF19" s="642" t="e">
        <f t="shared" si="13"/>
        <v>#VALUE!</v>
      </c>
      <c r="BG19" s="758">
        <v>15</v>
      </c>
      <c r="BH19" s="643" t="s">
        <v>332</v>
      </c>
      <c r="BI19" s="644" t="s">
        <v>341</v>
      </c>
      <c r="BJ19" s="1426" t="s">
        <v>341</v>
      </c>
      <c r="BK19" s="2395" t="s">
        <v>359</v>
      </c>
      <c r="BL19" s="2394">
        <v>2020</v>
      </c>
      <c r="BM19" s="688"/>
      <c r="BN19" s="689"/>
      <c r="BO19" s="646"/>
      <c r="BP19" s="690">
        <f t="shared" si="14"/>
        <v>16</v>
      </c>
      <c r="BQ19" s="691" t="s">
        <v>332</v>
      </c>
      <c r="BR19" s="633" t="s">
        <v>341</v>
      </c>
      <c r="BS19" s="692" t="s">
        <v>341</v>
      </c>
      <c r="BT19" s="635" t="s">
        <v>359</v>
      </c>
      <c r="BU19" s="648">
        <v>2021</v>
      </c>
      <c r="BV19" s="648"/>
      <c r="BW19" s="649"/>
      <c r="BX19" s="650">
        <v>1</v>
      </c>
      <c r="BY19" s="641" t="e">
        <f t="shared" si="15"/>
        <v>#VALUE!</v>
      </c>
      <c r="BZ19" s="651" t="str">
        <f t="shared" si="16"/>
        <v>- - -</v>
      </c>
      <c r="CA19" s="652" t="str">
        <f t="shared" si="17"/>
        <v>Chánh Văn phòng Học viện, Trưởng Ban Tổ chức - Cán bộ, Trưởng Khoa Nhà nước - Pháp luật và Lý luận cơ sở</v>
      </c>
      <c r="CB19" s="653" t="str">
        <f t="shared" si="18"/>
        <v>A</v>
      </c>
      <c r="CC19" s="615" t="str">
        <f t="shared" si="19"/>
        <v>=&gt; s</v>
      </c>
      <c r="CD19" s="599">
        <f t="shared" si="20"/>
        <v>24244</v>
      </c>
      <c r="CE19" s="599" t="str">
        <f t="shared" si="21"/>
        <v>S</v>
      </c>
      <c r="CF19" s="654">
        <v>2017</v>
      </c>
      <c r="CG19" s="599" t="s">
        <v>426</v>
      </c>
      <c r="CH19" s="655"/>
      <c r="CI19" s="599"/>
      <c r="CJ19" s="656" t="str">
        <f t="shared" si="22"/>
        <v>Cùg Ng</v>
      </c>
      <c r="CK19" s="657" t="str">
        <f t="shared" si="23"/>
        <v>- - -</v>
      </c>
      <c r="CL19" s="658"/>
      <c r="CM19" s="657"/>
      <c r="CN19" s="659"/>
      <c r="CO19" s="656"/>
      <c r="CP19" s="657" t="str">
        <f t="shared" si="24"/>
        <v>- - -</v>
      </c>
      <c r="CQ19" s="658"/>
      <c r="CR19" s="657"/>
      <c r="CS19" s="659"/>
      <c r="CT19" s="660"/>
      <c r="CU19" s="661" t="str">
        <f t="shared" si="25"/>
        <v>---</v>
      </c>
      <c r="CV19" s="662" t="str">
        <f t="shared" si="26"/>
        <v>/-/ /-/</v>
      </c>
      <c r="CW19" s="663">
        <f t="shared" si="27"/>
        <v>1</v>
      </c>
      <c r="CX19" s="662">
        <f t="shared" si="28"/>
        <v>2037</v>
      </c>
      <c r="CY19" s="663">
        <f t="shared" si="29"/>
        <v>10</v>
      </c>
      <c r="CZ19" s="662">
        <f t="shared" si="30"/>
        <v>2036</v>
      </c>
      <c r="DA19" s="663">
        <f t="shared" si="31"/>
        <v>7</v>
      </c>
      <c r="DB19" s="664">
        <f t="shared" si="32"/>
        <v>2036</v>
      </c>
      <c r="DC19" s="665" t="str">
        <f t="shared" si="33"/>
        <v>- - -</v>
      </c>
      <c r="DD19" s="665" t="str">
        <f t="shared" si="34"/>
        <v>. .</v>
      </c>
      <c r="DE19" s="615"/>
      <c r="DF19" s="615">
        <f t="shared" si="35"/>
        <v>660</v>
      </c>
      <c r="DG19" s="615">
        <f t="shared" si="36"/>
        <v>-23772</v>
      </c>
      <c r="DH19" s="615">
        <f t="shared" si="37"/>
        <v>-1981</v>
      </c>
      <c r="DI19" s="615" t="str">
        <f t="shared" si="38"/>
        <v>Nữ dưới 30</v>
      </c>
      <c r="DJ19" s="615"/>
      <c r="DK19" s="641"/>
      <c r="DL19" s="657" t="str">
        <f t="shared" si="39"/>
        <v>Đến 30</v>
      </c>
      <c r="DM19" s="666" t="str">
        <f t="shared" si="40"/>
        <v>TD</v>
      </c>
      <c r="DN19" s="599">
        <v>2009</v>
      </c>
      <c r="DO19" s="667"/>
      <c r="DP19" s="666"/>
      <c r="DQ19" s="659"/>
      <c r="DR19" s="668"/>
      <c r="DS19" s="669"/>
      <c r="DT19" s="670"/>
      <c r="DU19" s="671"/>
      <c r="DV19" s="672"/>
      <c r="DW19" s="632" t="s">
        <v>130</v>
      </c>
      <c r="DX19" s="634" t="s">
        <v>110</v>
      </c>
      <c r="DY19" s="634" t="s">
        <v>130</v>
      </c>
      <c r="DZ19" s="634" t="s">
        <v>341</v>
      </c>
      <c r="EA19" s="673" t="s">
        <v>359</v>
      </c>
      <c r="EB19" s="634" t="s">
        <v>370</v>
      </c>
      <c r="EC19" s="674" t="s">
        <v>359</v>
      </c>
      <c r="ED19" s="632">
        <v>2012</v>
      </c>
      <c r="EE19" s="634">
        <f t="shared" si="41"/>
        <v>0</v>
      </c>
      <c r="EF19" s="634" t="str">
        <f t="shared" si="42"/>
        <v>- - -</v>
      </c>
      <c r="EG19" s="634" t="s">
        <v>341</v>
      </c>
      <c r="EH19" s="673" t="s">
        <v>359</v>
      </c>
      <c r="EI19" s="599" t="s">
        <v>370</v>
      </c>
      <c r="EJ19" s="656" t="s">
        <v>359</v>
      </c>
      <c r="EK19" s="675">
        <v>2012</v>
      </c>
      <c r="EL19" s="671"/>
      <c r="EM19" s="676" t="str">
        <f t="shared" si="43"/>
        <v>- - -</v>
      </c>
      <c r="EN19" s="676" t="str">
        <f t="shared" si="44"/>
        <v>---</v>
      </c>
      <c r="EO19" s="676"/>
      <c r="EP19" s="676"/>
      <c r="EQ19" s="676"/>
      <c r="ER19" s="676"/>
      <c r="ES19" s="676"/>
      <c r="ET19" s="676"/>
      <c r="EU19" s="676"/>
      <c r="EV19" s="676"/>
      <c r="EW19" s="676"/>
      <c r="EX19" s="676"/>
      <c r="EY19" s="676"/>
      <c r="EZ19" s="676"/>
      <c r="FA19" s="676"/>
      <c r="FB19" s="676"/>
      <c r="FC19" s="676"/>
      <c r="FD19" s="676"/>
      <c r="FE19" s="676"/>
      <c r="FF19" s="676"/>
      <c r="FG19" s="676"/>
      <c r="FH19" s="676"/>
      <c r="FI19" s="676"/>
      <c r="FJ19" s="676"/>
      <c r="FK19" s="677"/>
      <c r="FL19" s="677"/>
      <c r="FM19" s="677"/>
      <c r="FN19" s="677"/>
      <c r="FO19" s="677"/>
    </row>
    <row r="20" spans="1:171" s="678" customFormat="1" ht="37.5" customHeight="1" x14ac:dyDescent="0.2">
      <c r="A20" s="599">
        <v>1452</v>
      </c>
      <c r="B20" s="600">
        <v>5</v>
      </c>
      <c r="C20" s="599"/>
      <c r="D20" s="599" t="str">
        <f t="shared" si="0"/>
        <v>Bà</v>
      </c>
      <c r="E20" s="601" t="s">
        <v>104</v>
      </c>
      <c r="F20" s="599" t="s">
        <v>380</v>
      </c>
      <c r="G20" s="602" t="s">
        <v>372</v>
      </c>
      <c r="H20" s="603" t="s">
        <v>359</v>
      </c>
      <c r="I20" s="604" t="s">
        <v>343</v>
      </c>
      <c r="J20" s="603" t="s">
        <v>359</v>
      </c>
      <c r="K20" s="605">
        <v>1968</v>
      </c>
      <c r="L20" s="606" t="s">
        <v>451</v>
      </c>
      <c r="M20" s="607" t="str">
        <f t="shared" si="1"/>
        <v>VC</v>
      </c>
      <c r="N20" s="608"/>
      <c r="O20" s="609" t="str">
        <f t="shared" si="2"/>
        <v>CVụ</v>
      </c>
      <c r="P20" s="610" t="s">
        <v>465</v>
      </c>
      <c r="Q20" s="611">
        <f>VLOOKUP(P20,'- DLiêu Gốc -'!$C$2:$H$115,2,0)</f>
        <v>0.6</v>
      </c>
      <c r="R20" s="681" t="s">
        <v>131</v>
      </c>
      <c r="S20" s="682" t="s">
        <v>562</v>
      </c>
      <c r="T20" s="612" t="str">
        <f>VLOOKUP(Y20,'- DLiêu Gốc -'!$C$2:$H$60,5,0)</f>
        <v>A1</v>
      </c>
      <c r="U20" s="613" t="str">
        <f>VLOOKUP(Y20,'- DLiêu Gốc -'!$C$2:$H$60,6,0)</f>
        <v>- - -</v>
      </c>
      <c r="V20" s="683" t="s">
        <v>424</v>
      </c>
      <c r="W20" s="684" t="str">
        <f t="shared" si="3"/>
        <v>Giảng viên (hạng III)</v>
      </c>
      <c r="X20" s="685" t="str">
        <f t="shared" si="4"/>
        <v>V.07.01.03</v>
      </c>
      <c r="Y20" s="614" t="s">
        <v>430</v>
      </c>
      <c r="Z20" s="614" t="str">
        <f>VLOOKUP(Y20,'- DLiêu Gốc -'!$C$1:$H$133,2,0)</f>
        <v>V.07.01.03</v>
      </c>
      <c r="AA20" s="615" t="str">
        <f t="shared" si="5"/>
        <v>Lương</v>
      </c>
      <c r="AB20" s="616">
        <v>5</v>
      </c>
      <c r="AC20" s="617" t="str">
        <f>IF(AD20&gt;0,"/")</f>
        <v>/</v>
      </c>
      <c r="AD20" s="618">
        <f>IF(OR(BE20=0.18,BE20=0.2),12,IF(BE20=0.31,10,IF(BE20=0.33,9,IF(BE20=0.34,8,IF(BE20=0.36,6)))))</f>
        <v>9</v>
      </c>
      <c r="AE20" s="619">
        <f t="shared" si="6"/>
        <v>3.66</v>
      </c>
      <c r="AF20" s="620"/>
      <c r="AG20" s="620"/>
      <c r="AH20" s="621" t="s">
        <v>341</v>
      </c>
      <c r="AI20" s="622" t="s">
        <v>359</v>
      </c>
      <c r="AJ20" s="623" t="s">
        <v>349</v>
      </c>
      <c r="AK20" s="622" t="s">
        <v>359</v>
      </c>
      <c r="AL20" s="624">
        <v>2015</v>
      </c>
      <c r="AM20" s="625"/>
      <c r="AN20" s="626"/>
      <c r="AO20" s="627">
        <f t="shared" si="7"/>
        <v>6</v>
      </c>
      <c r="AP20" s="628" t="str">
        <f t="shared" si="8"/>
        <v>/</v>
      </c>
      <c r="AQ20" s="629">
        <f t="shared" si="9"/>
        <v>9</v>
      </c>
      <c r="AR20" s="630">
        <f t="shared" si="10"/>
        <v>3.99</v>
      </c>
      <c r="AS20" s="631"/>
      <c r="AT20" s="632" t="s">
        <v>341</v>
      </c>
      <c r="AU20" s="633" t="s">
        <v>359</v>
      </c>
      <c r="AV20" s="634" t="s">
        <v>342</v>
      </c>
      <c r="AW20" s="633" t="s">
        <v>359</v>
      </c>
      <c r="AX20" s="635">
        <v>2019</v>
      </c>
      <c r="AY20" s="636"/>
      <c r="AZ20" s="637" t="s">
        <v>457</v>
      </c>
      <c r="BA20" s="638"/>
      <c r="BB20" s="639">
        <f t="shared" si="11"/>
        <v>3</v>
      </c>
      <c r="BC20" s="640">
        <f t="shared" si="12"/>
        <v>-24230</v>
      </c>
      <c r="BD20" s="640">
        <f>VLOOKUP(Y20,'- DLiêu Gốc -'!$C$1:$F$60,3,0)</f>
        <v>2.34</v>
      </c>
      <c r="BE20" s="641">
        <f>VLOOKUP(Y20,'- DLiêu Gốc -'!$C$1:$F$60,4,0)</f>
        <v>0.33</v>
      </c>
      <c r="BF20" s="642" t="e">
        <f t="shared" si="13"/>
        <v>#VALUE!</v>
      </c>
      <c r="BG20" s="758">
        <v>14</v>
      </c>
      <c r="BH20" s="643" t="s">
        <v>332</v>
      </c>
      <c r="BI20" s="644" t="s">
        <v>341</v>
      </c>
      <c r="BJ20" s="1426" t="s">
        <v>341</v>
      </c>
      <c r="BK20" s="2395" t="s">
        <v>359</v>
      </c>
      <c r="BL20" s="2394">
        <v>2020</v>
      </c>
      <c r="BM20" s="688"/>
      <c r="BN20" s="689"/>
      <c r="BO20" s="646"/>
      <c r="BP20" s="690">
        <f t="shared" si="14"/>
        <v>15</v>
      </c>
      <c r="BQ20" s="691" t="s">
        <v>332</v>
      </c>
      <c r="BR20" s="633" t="s">
        <v>341</v>
      </c>
      <c r="BS20" s="692" t="s">
        <v>341</v>
      </c>
      <c r="BT20" s="635" t="s">
        <v>359</v>
      </c>
      <c r="BU20" s="648">
        <v>2021</v>
      </c>
      <c r="BV20" s="648"/>
      <c r="BW20" s="649" t="s">
        <v>413</v>
      </c>
      <c r="BX20" s="650">
        <v>1</v>
      </c>
      <c r="BY20" s="641" t="e">
        <f t="shared" si="15"/>
        <v>#VALUE!</v>
      </c>
      <c r="BZ20" s="651" t="str">
        <f t="shared" si="16"/>
        <v>- - -</v>
      </c>
      <c r="CA20" s="652" t="str">
        <f t="shared" si="17"/>
        <v>Chánh Văn phòng Học viện, Trưởng Ban Tổ chức - Cán bộ, Trưởng Khoa Nhà nước - Pháp luật và Lý luận cơ sở</v>
      </c>
      <c r="CB20" s="653" t="str">
        <f t="shared" si="18"/>
        <v>A</v>
      </c>
      <c r="CC20" s="615" t="str">
        <f t="shared" si="19"/>
        <v>=&gt; s</v>
      </c>
      <c r="CD20" s="599">
        <f t="shared" si="20"/>
        <v>24254</v>
      </c>
      <c r="CE20" s="599" t="str">
        <f t="shared" si="21"/>
        <v>S</v>
      </c>
      <c r="CF20" s="654">
        <v>2015</v>
      </c>
      <c r="CG20" s="599"/>
      <c r="CH20" s="655"/>
      <c r="CI20" s="599"/>
      <c r="CJ20" s="656" t="str">
        <f t="shared" si="22"/>
        <v>- - -</v>
      </c>
      <c r="CK20" s="657" t="str">
        <f t="shared" si="23"/>
        <v>- - -</v>
      </c>
      <c r="CL20" s="658"/>
      <c r="CM20" s="657"/>
      <c r="CN20" s="659"/>
      <c r="CO20" s="656"/>
      <c r="CP20" s="657" t="str">
        <f t="shared" si="24"/>
        <v>- - -</v>
      </c>
      <c r="CQ20" s="658"/>
      <c r="CR20" s="657"/>
      <c r="CS20" s="659"/>
      <c r="CT20" s="660"/>
      <c r="CU20" s="661" t="str">
        <f t="shared" si="25"/>
        <v>---</v>
      </c>
      <c r="CV20" s="662" t="str">
        <f t="shared" si="26"/>
        <v>/-/ /-/</v>
      </c>
      <c r="CW20" s="663">
        <f t="shared" si="27"/>
        <v>6</v>
      </c>
      <c r="CX20" s="662">
        <f t="shared" si="28"/>
        <v>2023</v>
      </c>
      <c r="CY20" s="663">
        <f t="shared" si="29"/>
        <v>3</v>
      </c>
      <c r="CZ20" s="662">
        <f t="shared" si="30"/>
        <v>2023</v>
      </c>
      <c r="DA20" s="663">
        <f t="shared" si="31"/>
        <v>12</v>
      </c>
      <c r="DB20" s="664">
        <f t="shared" si="32"/>
        <v>2022</v>
      </c>
      <c r="DC20" s="665" t="str">
        <f t="shared" si="33"/>
        <v>- - -</v>
      </c>
      <c r="DD20" s="665" t="str">
        <f t="shared" si="34"/>
        <v>. .</v>
      </c>
      <c r="DE20" s="615"/>
      <c r="DF20" s="615">
        <f t="shared" si="35"/>
        <v>660</v>
      </c>
      <c r="DG20" s="615">
        <f t="shared" si="36"/>
        <v>-23609</v>
      </c>
      <c r="DH20" s="615">
        <f t="shared" si="37"/>
        <v>-1968</v>
      </c>
      <c r="DI20" s="615" t="str">
        <f t="shared" si="38"/>
        <v>Nữ dưới 30</v>
      </c>
      <c r="DJ20" s="615"/>
      <c r="DK20" s="641"/>
      <c r="DL20" s="657" t="str">
        <f t="shared" si="39"/>
        <v>Đến 30</v>
      </c>
      <c r="DM20" s="666" t="str">
        <f t="shared" si="40"/>
        <v>--</v>
      </c>
      <c r="DN20" s="599"/>
      <c r="DO20" s="667"/>
      <c r="DP20" s="666"/>
      <c r="DQ20" s="659"/>
      <c r="DR20" s="668"/>
      <c r="DS20" s="669"/>
      <c r="DT20" s="670"/>
      <c r="DU20" s="671"/>
      <c r="DV20" s="672"/>
      <c r="DW20" s="632" t="s">
        <v>131</v>
      </c>
      <c r="DX20" s="634" t="s">
        <v>110</v>
      </c>
      <c r="DY20" s="634" t="s">
        <v>131</v>
      </c>
      <c r="DZ20" s="634" t="s">
        <v>341</v>
      </c>
      <c r="EA20" s="673" t="s">
        <v>359</v>
      </c>
      <c r="EB20" s="634" t="s">
        <v>348</v>
      </c>
      <c r="EC20" s="674" t="s">
        <v>359</v>
      </c>
      <c r="ED20" s="632">
        <v>2013</v>
      </c>
      <c r="EE20" s="634">
        <f t="shared" si="41"/>
        <v>0</v>
      </c>
      <c r="EF20" s="634" t="str">
        <f t="shared" si="42"/>
        <v>- - -</v>
      </c>
      <c r="EG20" s="634" t="s">
        <v>341</v>
      </c>
      <c r="EH20" s="673" t="s">
        <v>359</v>
      </c>
      <c r="EI20" s="599" t="s">
        <v>348</v>
      </c>
      <c r="EJ20" s="656" t="s">
        <v>359</v>
      </c>
      <c r="EK20" s="675">
        <v>2013</v>
      </c>
      <c r="EL20" s="671"/>
      <c r="EM20" s="676" t="str">
        <f t="shared" si="43"/>
        <v>- - -</v>
      </c>
      <c r="EN20" s="676" t="str">
        <f t="shared" si="44"/>
        <v>---</v>
      </c>
      <c r="EO20" s="676"/>
      <c r="EP20" s="676"/>
      <c r="EQ20" s="676"/>
      <c r="ER20" s="676"/>
      <c r="ES20" s="676"/>
      <c r="ET20" s="676"/>
      <c r="EU20" s="676"/>
      <c r="EV20" s="676"/>
      <c r="EW20" s="676"/>
      <c r="EX20" s="676"/>
      <c r="EY20" s="676"/>
      <c r="EZ20" s="676"/>
      <c r="FA20" s="676"/>
      <c r="FB20" s="676"/>
      <c r="FC20" s="676"/>
      <c r="FD20" s="676"/>
      <c r="FE20" s="676"/>
      <c r="FF20" s="676"/>
      <c r="FG20" s="676"/>
      <c r="FH20" s="676"/>
      <c r="FI20" s="676"/>
      <c r="FJ20" s="676"/>
      <c r="FK20" s="677"/>
      <c r="FL20" s="677"/>
      <c r="FM20" s="677"/>
      <c r="FN20" s="677"/>
      <c r="FO20" s="677"/>
    </row>
    <row r="21" spans="1:171" s="678" customFormat="1" ht="37.5" customHeight="1" x14ac:dyDescent="0.2">
      <c r="A21" s="599">
        <v>1788</v>
      </c>
      <c r="B21" s="600">
        <v>6</v>
      </c>
      <c r="C21" s="599"/>
      <c r="D21" s="599" t="str">
        <f t="shared" si="0"/>
        <v>Ông</v>
      </c>
      <c r="E21" s="601" t="s">
        <v>12</v>
      </c>
      <c r="F21" s="599" t="s">
        <v>378</v>
      </c>
      <c r="G21" s="602" t="s">
        <v>373</v>
      </c>
      <c r="H21" s="603" t="s">
        <v>359</v>
      </c>
      <c r="I21" s="604" t="s">
        <v>370</v>
      </c>
      <c r="J21" s="603" t="s">
        <v>359</v>
      </c>
      <c r="K21" s="605">
        <v>1980</v>
      </c>
      <c r="L21" s="606" t="s">
        <v>451</v>
      </c>
      <c r="M21" s="607" t="str">
        <f t="shared" si="1"/>
        <v>VC</v>
      </c>
      <c r="N21" s="608"/>
      <c r="O21" s="609" t="e">
        <f t="shared" si="2"/>
        <v>#N/A</v>
      </c>
      <c r="P21" s="610"/>
      <c r="Q21" s="611" t="e">
        <f>VLOOKUP(P21,'- DLiêu Gốc -'!$C$2:$H$115,2,0)</f>
        <v>#N/A</v>
      </c>
      <c r="R21" s="681" t="s">
        <v>614</v>
      </c>
      <c r="S21" s="682" t="s">
        <v>562</v>
      </c>
      <c r="T21" s="612" t="str">
        <f>VLOOKUP(Y21,'- DLiêu Gốc -'!$C$2:$H$60,5,0)</f>
        <v>A1</v>
      </c>
      <c r="U21" s="613" t="str">
        <f>VLOOKUP(Y21,'- DLiêu Gốc -'!$C$2:$H$60,6,0)</f>
        <v>- - -</v>
      </c>
      <c r="V21" s="683" t="s">
        <v>424</v>
      </c>
      <c r="W21" s="684" t="str">
        <f t="shared" si="3"/>
        <v>Giảng viên (hạng III)</v>
      </c>
      <c r="X21" s="685" t="str">
        <f t="shared" si="4"/>
        <v>V.07.01.03</v>
      </c>
      <c r="Y21" s="614" t="s">
        <v>430</v>
      </c>
      <c r="Z21" s="614" t="str">
        <f>VLOOKUP(Y21,'- DLiêu Gốc -'!$C$1:$H$133,2,0)</f>
        <v>V.07.01.03</v>
      </c>
      <c r="AA21" s="615" t="str">
        <f t="shared" si="5"/>
        <v>Lương</v>
      </c>
      <c r="AB21" s="616">
        <v>5</v>
      </c>
      <c r="AC21" s="617" t="str">
        <f>IF(AD21&gt;0,"/")</f>
        <v>/</v>
      </c>
      <c r="AD21" s="618">
        <f>IF(OR(BE21=0.18,BE21=0.2),12,IF(BE21=0.31,10,IF(BE21=0.33,9,IF(BE21=0.34,8,IF(BE21=0.36,6)))))</f>
        <v>9</v>
      </c>
      <c r="AE21" s="619">
        <f t="shared" si="6"/>
        <v>3.66</v>
      </c>
      <c r="AF21" s="620"/>
      <c r="AG21" s="620"/>
      <c r="AH21" s="621" t="s">
        <v>341</v>
      </c>
      <c r="AI21" s="622" t="s">
        <v>359</v>
      </c>
      <c r="AJ21" s="623" t="s">
        <v>348</v>
      </c>
      <c r="AK21" s="622" t="s">
        <v>359</v>
      </c>
      <c r="AL21" s="624">
        <v>2015</v>
      </c>
      <c r="AM21" s="625"/>
      <c r="AN21" s="626"/>
      <c r="AO21" s="627">
        <f t="shared" si="7"/>
        <v>6</v>
      </c>
      <c r="AP21" s="628" t="str">
        <f t="shared" si="8"/>
        <v>/</v>
      </c>
      <c r="AQ21" s="629">
        <f t="shared" si="9"/>
        <v>9</v>
      </c>
      <c r="AR21" s="630">
        <f t="shared" si="10"/>
        <v>3.99</v>
      </c>
      <c r="AS21" s="631"/>
      <c r="AT21" s="632" t="s">
        <v>341</v>
      </c>
      <c r="AU21" s="633" t="s">
        <v>359</v>
      </c>
      <c r="AV21" s="634" t="s">
        <v>348</v>
      </c>
      <c r="AW21" s="633" t="s">
        <v>359</v>
      </c>
      <c r="AX21" s="635">
        <v>2018</v>
      </c>
      <c r="AY21" s="636"/>
      <c r="AZ21" s="637" t="s">
        <v>625</v>
      </c>
      <c r="BA21" s="638"/>
      <c r="BB21" s="639">
        <f t="shared" si="11"/>
        <v>3</v>
      </c>
      <c r="BC21" s="640">
        <f t="shared" si="12"/>
        <v>-24225</v>
      </c>
      <c r="BD21" s="640">
        <f>VLOOKUP(Y21,'- DLiêu Gốc -'!$C$1:$F$60,3,0)</f>
        <v>2.34</v>
      </c>
      <c r="BE21" s="641">
        <f>VLOOKUP(Y21,'- DLiêu Gốc -'!$C$1:$F$60,4,0)</f>
        <v>0.33</v>
      </c>
      <c r="BF21" s="642" t="e">
        <f t="shared" si="13"/>
        <v>#VALUE!</v>
      </c>
      <c r="BG21" s="758">
        <v>15</v>
      </c>
      <c r="BH21" s="643" t="s">
        <v>332</v>
      </c>
      <c r="BI21" s="644" t="s">
        <v>341</v>
      </c>
      <c r="BJ21" s="1426" t="s">
        <v>341</v>
      </c>
      <c r="BK21" s="2395" t="s">
        <v>359</v>
      </c>
      <c r="BL21" s="2394">
        <v>2020</v>
      </c>
      <c r="BM21" s="688"/>
      <c r="BN21" s="689"/>
      <c r="BO21" s="646"/>
      <c r="BP21" s="690">
        <f t="shared" si="14"/>
        <v>16</v>
      </c>
      <c r="BQ21" s="691" t="s">
        <v>332</v>
      </c>
      <c r="BR21" s="633" t="s">
        <v>341</v>
      </c>
      <c r="BS21" s="692" t="s">
        <v>341</v>
      </c>
      <c r="BT21" s="635" t="s">
        <v>359</v>
      </c>
      <c r="BU21" s="648">
        <v>2021</v>
      </c>
      <c r="BV21" s="648"/>
      <c r="BW21" s="649"/>
      <c r="BX21" s="650">
        <v>1</v>
      </c>
      <c r="BY21" s="641" t="e">
        <f t="shared" si="15"/>
        <v>#VALUE!</v>
      </c>
      <c r="BZ21" s="651" t="str">
        <f t="shared" si="16"/>
        <v>- - -</v>
      </c>
      <c r="CA21" s="652" t="str">
        <f t="shared" si="17"/>
        <v>Chánh Văn phòng Học viện, Trưởng Ban Tổ chức - Cán bộ, Trưởng Khoa Nhà nước - Pháp luật và Lý luận cơ sở</v>
      </c>
      <c r="CB21" s="653" t="str">
        <f t="shared" si="18"/>
        <v>A</v>
      </c>
      <c r="CC21" s="615" t="str">
        <f t="shared" si="19"/>
        <v>=&gt; s</v>
      </c>
      <c r="CD21" s="599">
        <f t="shared" si="20"/>
        <v>24249</v>
      </c>
      <c r="CE21" s="599" t="str">
        <f t="shared" si="21"/>
        <v>---</v>
      </c>
      <c r="CF21" s="654"/>
      <c r="CG21" s="599"/>
      <c r="CH21" s="655"/>
      <c r="CI21" s="599"/>
      <c r="CJ21" s="656" t="str">
        <f t="shared" si="22"/>
        <v>- - -</v>
      </c>
      <c r="CK21" s="657" t="str">
        <f t="shared" si="23"/>
        <v>- - -</v>
      </c>
      <c r="CL21" s="658"/>
      <c r="CM21" s="657"/>
      <c r="CN21" s="659"/>
      <c r="CO21" s="656"/>
      <c r="CP21" s="657" t="str">
        <f t="shared" si="24"/>
        <v>- - -</v>
      </c>
      <c r="CQ21" s="658"/>
      <c r="CR21" s="657"/>
      <c r="CS21" s="659"/>
      <c r="CT21" s="660"/>
      <c r="CU21" s="661" t="str">
        <f t="shared" si="25"/>
        <v>---</v>
      </c>
      <c r="CV21" s="662" t="str">
        <f t="shared" si="26"/>
        <v>/-/ /-/</v>
      </c>
      <c r="CW21" s="663">
        <f t="shared" si="27"/>
        <v>11</v>
      </c>
      <c r="CX21" s="662">
        <f t="shared" si="28"/>
        <v>2040</v>
      </c>
      <c r="CY21" s="663">
        <f t="shared" si="29"/>
        <v>8</v>
      </c>
      <c r="CZ21" s="662">
        <f t="shared" si="30"/>
        <v>2040</v>
      </c>
      <c r="DA21" s="663">
        <f t="shared" si="31"/>
        <v>5</v>
      </c>
      <c r="DB21" s="664">
        <f t="shared" si="32"/>
        <v>2040</v>
      </c>
      <c r="DC21" s="665" t="str">
        <f t="shared" si="33"/>
        <v>- - -</v>
      </c>
      <c r="DD21" s="665" t="str">
        <f t="shared" si="34"/>
        <v>. .</v>
      </c>
      <c r="DE21" s="615"/>
      <c r="DF21" s="615">
        <f t="shared" si="35"/>
        <v>720</v>
      </c>
      <c r="DG21" s="615">
        <f t="shared" si="36"/>
        <v>-23758</v>
      </c>
      <c r="DH21" s="615">
        <f t="shared" si="37"/>
        <v>-1980</v>
      </c>
      <c r="DI21" s="615" t="str">
        <f t="shared" si="38"/>
        <v>Nam dưới 35</v>
      </c>
      <c r="DJ21" s="615"/>
      <c r="DK21" s="641"/>
      <c r="DL21" s="657" t="str">
        <f t="shared" si="39"/>
        <v>Đến 30</v>
      </c>
      <c r="DM21" s="666" t="str">
        <f t="shared" si="40"/>
        <v>TD</v>
      </c>
      <c r="DN21" s="599">
        <v>2012</v>
      </c>
      <c r="DO21" s="667"/>
      <c r="DP21" s="666"/>
      <c r="DQ21" s="659"/>
      <c r="DR21" s="668"/>
      <c r="DS21" s="669"/>
      <c r="DT21" s="670"/>
      <c r="DU21" s="671"/>
      <c r="DV21" s="672"/>
      <c r="DW21" s="632" t="s">
        <v>10</v>
      </c>
      <c r="DX21" s="634" t="s">
        <v>106</v>
      </c>
      <c r="DY21" s="634" t="s">
        <v>10</v>
      </c>
      <c r="DZ21" s="634" t="s">
        <v>341</v>
      </c>
      <c r="EA21" s="673" t="s">
        <v>359</v>
      </c>
      <c r="EB21" s="634" t="s">
        <v>348</v>
      </c>
      <c r="EC21" s="674" t="s">
        <v>359</v>
      </c>
      <c r="ED21" s="632">
        <v>2012</v>
      </c>
      <c r="EE21" s="634">
        <f t="shared" si="41"/>
        <v>0</v>
      </c>
      <c r="EF21" s="634" t="str">
        <f t="shared" si="42"/>
        <v>- - -</v>
      </c>
      <c r="EG21" s="634" t="s">
        <v>341</v>
      </c>
      <c r="EH21" s="673" t="s">
        <v>359</v>
      </c>
      <c r="EI21" s="599" t="s">
        <v>348</v>
      </c>
      <c r="EJ21" s="656" t="s">
        <v>359</v>
      </c>
      <c r="EK21" s="675">
        <v>2012</v>
      </c>
      <c r="EL21" s="671"/>
      <c r="EM21" s="676" t="str">
        <f t="shared" si="43"/>
        <v>- - -</v>
      </c>
      <c r="EN21" s="676" t="str">
        <f t="shared" si="44"/>
        <v>---</v>
      </c>
      <c r="EO21" s="676"/>
      <c r="EP21" s="676"/>
      <c r="EQ21" s="676"/>
      <c r="ER21" s="676"/>
      <c r="ES21" s="676"/>
      <c r="ET21" s="676"/>
      <c r="EU21" s="676"/>
      <c r="EV21" s="676"/>
      <c r="EW21" s="676"/>
      <c r="EX21" s="676"/>
      <c r="EY21" s="676"/>
      <c r="EZ21" s="676"/>
      <c r="FA21" s="676"/>
      <c r="FB21" s="676"/>
      <c r="FC21" s="676"/>
      <c r="FD21" s="676"/>
      <c r="FE21" s="676"/>
      <c r="FF21" s="676"/>
      <c r="FG21" s="676"/>
      <c r="FH21" s="676"/>
      <c r="FI21" s="676"/>
      <c r="FJ21" s="676"/>
      <c r="FK21" s="677"/>
      <c r="FL21" s="677"/>
      <c r="FM21" s="677"/>
      <c r="FN21" s="677"/>
      <c r="FO21" s="677"/>
    </row>
    <row r="22" spans="1:171" s="678" customFormat="1" ht="37.5" customHeight="1" x14ac:dyDescent="0.2">
      <c r="A22" s="599">
        <v>2124</v>
      </c>
      <c r="B22" s="600">
        <v>7</v>
      </c>
      <c r="C22" s="599"/>
      <c r="D22" s="599" t="str">
        <f t="shared" si="0"/>
        <v>Ông</v>
      </c>
      <c r="E22" s="601" t="s">
        <v>35</v>
      </c>
      <c r="F22" s="599" t="s">
        <v>378</v>
      </c>
      <c r="G22" s="602" t="s">
        <v>326</v>
      </c>
      <c r="H22" s="603" t="s">
        <v>359</v>
      </c>
      <c r="I22" s="604" t="s">
        <v>342</v>
      </c>
      <c r="J22" s="603" t="s">
        <v>359</v>
      </c>
      <c r="K22" s="605">
        <v>1975</v>
      </c>
      <c r="L22" s="606" t="s">
        <v>451</v>
      </c>
      <c r="M22" s="607" t="str">
        <f t="shared" si="1"/>
        <v>VC</v>
      </c>
      <c r="N22" s="608"/>
      <c r="O22" s="609" t="str">
        <f t="shared" si="2"/>
        <v>CVụ</v>
      </c>
      <c r="P22" s="610" t="s">
        <v>250</v>
      </c>
      <c r="Q22" s="611">
        <f>VLOOKUP(P22,'- DLiêu Gốc -'!$C$2:$H$115,2,0)</f>
        <v>0.4</v>
      </c>
      <c r="R22" s="681" t="s">
        <v>37</v>
      </c>
      <c r="S22" s="682" t="s">
        <v>565</v>
      </c>
      <c r="T22" s="612" t="str">
        <f>VLOOKUP(Y22,'- DLiêu Gốc -'!$C$2:$H$60,5,0)</f>
        <v>A2</v>
      </c>
      <c r="U22" s="613" t="str">
        <f>VLOOKUP(Y22,'- DLiêu Gốc -'!$C$2:$H$60,6,0)</f>
        <v>A2.1</v>
      </c>
      <c r="V22" s="683" t="s">
        <v>424</v>
      </c>
      <c r="W22" s="684" t="str">
        <f t="shared" si="3"/>
        <v>Giảng viên chính (hạng II)</v>
      </c>
      <c r="X22" s="685" t="str">
        <f t="shared" si="4"/>
        <v>V.07.01.02</v>
      </c>
      <c r="Y22" s="614" t="s">
        <v>431</v>
      </c>
      <c r="Z22" s="614" t="str">
        <f>VLOOKUP(Y22,'- DLiêu Gốc -'!$C$1:$H$133,2,0)</f>
        <v>V.07.01.02</v>
      </c>
      <c r="AA22" s="615" t="str">
        <f t="shared" si="5"/>
        <v>Lương</v>
      </c>
      <c r="AB22" s="616">
        <v>2</v>
      </c>
      <c r="AC22" s="617" t="str">
        <f>IF(AD22&gt;0,"/")</f>
        <v>/</v>
      </c>
      <c r="AD22" s="618">
        <f>IF(OR(BE22=0.18,BE22=0.2),12,IF(BE22=0.31,10,IF(BE22=0.33,9,IF(BE22=0.34,8,IF(BE22=0.36,6)))))</f>
        <v>8</v>
      </c>
      <c r="AE22" s="619">
        <f t="shared" si="6"/>
        <v>4.74</v>
      </c>
      <c r="AF22" s="620"/>
      <c r="AG22" s="620"/>
      <c r="AH22" s="621"/>
      <c r="AI22" s="622" t="s">
        <v>359</v>
      </c>
      <c r="AJ22" s="623"/>
      <c r="AK22" s="622" t="s">
        <v>359</v>
      </c>
      <c r="AL22" s="624"/>
      <c r="AM22" s="625"/>
      <c r="AN22" s="626"/>
      <c r="AO22" s="627">
        <f t="shared" si="7"/>
        <v>3</v>
      </c>
      <c r="AP22" s="628" t="str">
        <f t="shared" si="8"/>
        <v>/</v>
      </c>
      <c r="AQ22" s="629">
        <f t="shared" si="9"/>
        <v>8</v>
      </c>
      <c r="AR22" s="630">
        <f t="shared" si="10"/>
        <v>5.08</v>
      </c>
      <c r="AS22" s="631"/>
      <c r="AT22" s="632" t="s">
        <v>341</v>
      </c>
      <c r="AU22" s="633" t="s">
        <v>359</v>
      </c>
      <c r="AV22" s="634" t="s">
        <v>347</v>
      </c>
      <c r="AW22" s="633" t="s">
        <v>359</v>
      </c>
      <c r="AX22" s="635">
        <v>2018</v>
      </c>
      <c r="AY22" s="636"/>
      <c r="AZ22" s="637"/>
      <c r="BA22" s="638"/>
      <c r="BB22" s="639">
        <f t="shared" si="11"/>
        <v>3</v>
      </c>
      <c r="BC22" s="640">
        <f t="shared" si="12"/>
        <v>-24223</v>
      </c>
      <c r="BD22" s="640">
        <f>VLOOKUP(Y22,'- DLiêu Gốc -'!$C$1:$F$60,3,0)</f>
        <v>4.4000000000000004</v>
      </c>
      <c r="BE22" s="641">
        <f>VLOOKUP(Y22,'- DLiêu Gốc -'!$C$1:$F$60,4,0)</f>
        <v>0.34</v>
      </c>
      <c r="BF22" s="642" t="e">
        <f t="shared" si="13"/>
        <v>#VALUE!</v>
      </c>
      <c r="BG22" s="758">
        <v>10</v>
      </c>
      <c r="BH22" s="643" t="s">
        <v>332</v>
      </c>
      <c r="BI22" s="644" t="s">
        <v>341</v>
      </c>
      <c r="BJ22" s="1426" t="s">
        <v>341</v>
      </c>
      <c r="BK22" s="2395" t="s">
        <v>359</v>
      </c>
      <c r="BL22" s="2394">
        <v>2020</v>
      </c>
      <c r="BM22" s="688"/>
      <c r="BN22" s="689"/>
      <c r="BO22" s="646"/>
      <c r="BP22" s="690">
        <f t="shared" si="14"/>
        <v>11</v>
      </c>
      <c r="BQ22" s="691" t="s">
        <v>332</v>
      </c>
      <c r="BR22" s="633" t="s">
        <v>341</v>
      </c>
      <c r="BS22" s="692" t="s">
        <v>341</v>
      </c>
      <c r="BT22" s="635" t="s">
        <v>359</v>
      </c>
      <c r="BU22" s="648">
        <v>2021</v>
      </c>
      <c r="BV22" s="648"/>
      <c r="BW22" s="649"/>
      <c r="BX22" s="650">
        <v>1</v>
      </c>
      <c r="BY22" s="641" t="e">
        <f t="shared" si="15"/>
        <v>#VALUE!</v>
      </c>
      <c r="BZ22" s="651" t="str">
        <f t="shared" si="16"/>
        <v>- - -</v>
      </c>
      <c r="CA22" s="652" t="str">
        <f t="shared" si="17"/>
        <v>Chánh Văn phòng Học viện, Trưởng Ban Tổ chức - Cán bộ, Trưởng Khoa Quản lý nhà nước về Kinh tế và Tài chính công</v>
      </c>
      <c r="CB22" s="653" t="str">
        <f t="shared" si="18"/>
        <v>A</v>
      </c>
      <c r="CC22" s="615" t="str">
        <f t="shared" si="19"/>
        <v>=&gt; s</v>
      </c>
      <c r="CD22" s="599">
        <f t="shared" si="20"/>
        <v>24247</v>
      </c>
      <c r="CE22" s="599" t="str">
        <f t="shared" si="21"/>
        <v>---</v>
      </c>
      <c r="CF22" s="654"/>
      <c r="CG22" s="599"/>
      <c r="CH22" s="655"/>
      <c r="CI22" s="599"/>
      <c r="CJ22" s="656" t="str">
        <f t="shared" si="22"/>
        <v>- - -</v>
      </c>
      <c r="CK22" s="657" t="str">
        <f t="shared" si="23"/>
        <v>NN</v>
      </c>
      <c r="CL22" s="658">
        <v>7</v>
      </c>
      <c r="CM22" s="657">
        <v>2012</v>
      </c>
      <c r="CN22" s="659"/>
      <c r="CO22" s="656"/>
      <c r="CP22" s="657" t="str">
        <f t="shared" si="24"/>
        <v>- - -</v>
      </c>
      <c r="CQ22" s="658"/>
      <c r="CR22" s="657"/>
      <c r="CS22" s="659"/>
      <c r="CT22" s="660"/>
      <c r="CU22" s="661" t="str">
        <f t="shared" si="25"/>
        <v>---</v>
      </c>
      <c r="CV22" s="662" t="str">
        <f t="shared" si="26"/>
        <v>/-/ /-/</v>
      </c>
      <c r="CW22" s="663">
        <f t="shared" si="27"/>
        <v>3</v>
      </c>
      <c r="CX22" s="662">
        <f t="shared" si="28"/>
        <v>2035</v>
      </c>
      <c r="CY22" s="663">
        <f t="shared" si="29"/>
        <v>12</v>
      </c>
      <c r="CZ22" s="662">
        <f t="shared" si="30"/>
        <v>2034</v>
      </c>
      <c r="DA22" s="663">
        <f t="shared" si="31"/>
        <v>9</v>
      </c>
      <c r="DB22" s="664">
        <f t="shared" si="32"/>
        <v>2034</v>
      </c>
      <c r="DC22" s="665" t="str">
        <f t="shared" si="33"/>
        <v>- - -</v>
      </c>
      <c r="DD22" s="665" t="str">
        <f t="shared" si="34"/>
        <v>. .</v>
      </c>
      <c r="DE22" s="615"/>
      <c r="DF22" s="615">
        <f t="shared" si="35"/>
        <v>720</v>
      </c>
      <c r="DG22" s="615">
        <f t="shared" si="36"/>
        <v>-23690</v>
      </c>
      <c r="DH22" s="615">
        <f t="shared" si="37"/>
        <v>-1975</v>
      </c>
      <c r="DI22" s="615" t="str">
        <f t="shared" si="38"/>
        <v>Nam dưới 35</v>
      </c>
      <c r="DJ22" s="615"/>
      <c r="DK22" s="641"/>
      <c r="DL22" s="657" t="str">
        <f t="shared" si="39"/>
        <v>Đến 30</v>
      </c>
      <c r="DM22" s="666" t="str">
        <f t="shared" si="40"/>
        <v>--</v>
      </c>
      <c r="DN22" s="599"/>
      <c r="DO22" s="667"/>
      <c r="DP22" s="666"/>
      <c r="DQ22" s="659"/>
      <c r="DR22" s="668"/>
      <c r="DS22" s="669"/>
      <c r="DT22" s="670"/>
      <c r="DU22" s="671"/>
      <c r="DV22" s="672"/>
      <c r="DW22" s="632" t="s">
        <v>37</v>
      </c>
      <c r="DX22" s="634" t="s">
        <v>116</v>
      </c>
      <c r="DY22" s="634" t="s">
        <v>37</v>
      </c>
      <c r="DZ22" s="634" t="s">
        <v>341</v>
      </c>
      <c r="EA22" s="673" t="s">
        <v>359</v>
      </c>
      <c r="EB22" s="634" t="s">
        <v>347</v>
      </c>
      <c r="EC22" s="674" t="s">
        <v>359</v>
      </c>
      <c r="ED22" s="632">
        <v>2012</v>
      </c>
      <c r="EE22" s="634">
        <f t="shared" si="41"/>
        <v>0</v>
      </c>
      <c r="EF22" s="634" t="str">
        <f t="shared" si="42"/>
        <v>- - -</v>
      </c>
      <c r="EG22" s="634" t="s">
        <v>341</v>
      </c>
      <c r="EH22" s="673" t="s">
        <v>359</v>
      </c>
      <c r="EI22" s="599" t="s">
        <v>347</v>
      </c>
      <c r="EJ22" s="656" t="s">
        <v>359</v>
      </c>
      <c r="EK22" s="675">
        <v>2012</v>
      </c>
      <c r="EL22" s="671">
        <v>3.66</v>
      </c>
      <c r="EM22" s="676" t="str">
        <f t="shared" si="43"/>
        <v>- - -</v>
      </c>
      <c r="EN22" s="676" t="str">
        <f t="shared" si="44"/>
        <v>---</v>
      </c>
      <c r="EO22" s="676"/>
      <c r="EP22" s="676"/>
      <c r="EQ22" s="676"/>
      <c r="ER22" s="676"/>
      <c r="ES22" s="676"/>
      <c r="ET22" s="676"/>
      <c r="EU22" s="676"/>
      <c r="EV22" s="676"/>
      <c r="EW22" s="676"/>
      <c r="EX22" s="676"/>
      <c r="EY22" s="676"/>
      <c r="EZ22" s="676"/>
      <c r="FA22" s="676"/>
      <c r="FB22" s="676"/>
      <c r="FC22" s="676"/>
      <c r="FD22" s="676"/>
      <c r="FE22" s="676"/>
      <c r="FF22" s="676"/>
      <c r="FG22" s="676"/>
      <c r="FH22" s="676"/>
      <c r="FI22" s="676"/>
      <c r="FJ22" s="676"/>
      <c r="FK22" s="677"/>
      <c r="FL22" s="677"/>
      <c r="FM22" s="677"/>
      <c r="FN22" s="677"/>
      <c r="FO22" s="677"/>
    </row>
    <row r="23" spans="1:171" s="678" customFormat="1" ht="37.5" customHeight="1" x14ac:dyDescent="0.2">
      <c r="A23" s="599">
        <v>2460</v>
      </c>
      <c r="B23" s="600">
        <v>8</v>
      </c>
      <c r="C23" s="599"/>
      <c r="D23" s="599" t="str">
        <f t="shared" si="0"/>
        <v>Bà</v>
      </c>
      <c r="E23" s="601" t="s">
        <v>17</v>
      </c>
      <c r="F23" s="599" t="s">
        <v>380</v>
      </c>
      <c r="G23" s="602" t="s">
        <v>329</v>
      </c>
      <c r="H23" s="603" t="s">
        <v>359</v>
      </c>
      <c r="I23" s="604">
        <v>7</v>
      </c>
      <c r="J23" s="603" t="s">
        <v>359</v>
      </c>
      <c r="K23" s="605">
        <v>1974</v>
      </c>
      <c r="L23" s="606" t="s">
        <v>451</v>
      </c>
      <c r="M23" s="607" t="str">
        <f t="shared" si="1"/>
        <v>VC</v>
      </c>
      <c r="N23" s="608"/>
      <c r="O23" s="609" t="str">
        <f t="shared" si="2"/>
        <v>CVụ</v>
      </c>
      <c r="P23" s="610" t="s">
        <v>250</v>
      </c>
      <c r="Q23" s="611">
        <f>VLOOKUP(P23,'- DLiêu Gốc -'!$C$2:$H$115,2,0)</f>
        <v>0.4</v>
      </c>
      <c r="R23" s="681" t="s">
        <v>460</v>
      </c>
      <c r="S23" s="682" t="s">
        <v>111</v>
      </c>
      <c r="T23" s="612" t="str">
        <f>VLOOKUP(Y23,'- DLiêu Gốc -'!$C$2:$H$60,5,0)</f>
        <v>A2</v>
      </c>
      <c r="U23" s="613" t="str">
        <f>VLOOKUP(Y23,'- DLiêu Gốc -'!$C$2:$H$60,6,0)</f>
        <v>A2.1</v>
      </c>
      <c r="V23" s="683" t="s">
        <v>424</v>
      </c>
      <c r="W23" s="684" t="str">
        <f t="shared" si="3"/>
        <v>Giảng viên chính (hạng II)</v>
      </c>
      <c r="X23" s="685" t="str">
        <f t="shared" si="4"/>
        <v>V.07.01.02</v>
      </c>
      <c r="Y23" s="614" t="s">
        <v>431</v>
      </c>
      <c r="Z23" s="614" t="str">
        <f>VLOOKUP(Y23,'- DLiêu Gốc -'!$C$1:$H$133,2,0)</f>
        <v>V.07.01.02</v>
      </c>
      <c r="AA23" s="615" t="str">
        <f t="shared" si="5"/>
        <v>Lương</v>
      </c>
      <c r="AB23" s="616">
        <v>1</v>
      </c>
      <c r="AC23" s="617" t="str">
        <f>IF(AD23&gt;0,"/")</f>
        <v>/</v>
      </c>
      <c r="AD23" s="618">
        <f>IF(OR(BE23=0.18,BE23=0.2),12,IF(BE23=0.31,10,IF(BE23=0.33,9,IF(BE23=0.34,8,IF(BE23=0.36,6)))))</f>
        <v>8</v>
      </c>
      <c r="AE23" s="619">
        <f t="shared" si="6"/>
        <v>4.4000000000000004</v>
      </c>
      <c r="AF23" s="620"/>
      <c r="AG23" s="620"/>
      <c r="AH23" s="621" t="s">
        <v>341</v>
      </c>
      <c r="AI23" s="622" t="s">
        <v>359</v>
      </c>
      <c r="AJ23" s="623" t="s">
        <v>341</v>
      </c>
      <c r="AK23" s="622" t="s">
        <v>359</v>
      </c>
      <c r="AL23" s="624">
        <v>2017</v>
      </c>
      <c r="AM23" s="625"/>
      <c r="AN23" s="626"/>
      <c r="AO23" s="627">
        <f t="shared" si="7"/>
        <v>2</v>
      </c>
      <c r="AP23" s="628" t="str">
        <f t="shared" si="8"/>
        <v>/</v>
      </c>
      <c r="AQ23" s="629">
        <f t="shared" si="9"/>
        <v>8</v>
      </c>
      <c r="AR23" s="630">
        <f t="shared" si="10"/>
        <v>4.74</v>
      </c>
      <c r="AS23" s="631"/>
      <c r="AT23" s="632" t="s">
        <v>341</v>
      </c>
      <c r="AU23" s="633" t="s">
        <v>359</v>
      </c>
      <c r="AV23" s="634" t="s">
        <v>341</v>
      </c>
      <c r="AW23" s="633" t="s">
        <v>359</v>
      </c>
      <c r="AX23" s="635">
        <v>2020</v>
      </c>
      <c r="AY23" s="636"/>
      <c r="AZ23" s="637" t="s">
        <v>618</v>
      </c>
      <c r="BA23" s="638"/>
      <c r="BB23" s="639">
        <f t="shared" si="11"/>
        <v>3</v>
      </c>
      <c r="BC23" s="640">
        <f t="shared" si="12"/>
        <v>-24241</v>
      </c>
      <c r="BD23" s="640">
        <f>VLOOKUP(Y23,'- DLiêu Gốc -'!$C$1:$F$60,3,0)</f>
        <v>4.4000000000000004</v>
      </c>
      <c r="BE23" s="641">
        <f>VLOOKUP(Y23,'- DLiêu Gốc -'!$C$1:$F$60,4,0)</f>
        <v>0.34</v>
      </c>
      <c r="BF23" s="642" t="e">
        <f t="shared" si="13"/>
        <v>#VALUE!</v>
      </c>
      <c r="BG23" s="758">
        <v>16</v>
      </c>
      <c r="BH23" s="643" t="s">
        <v>332</v>
      </c>
      <c r="BI23" s="644" t="s">
        <v>341</v>
      </c>
      <c r="BJ23" s="1426" t="s">
        <v>341</v>
      </c>
      <c r="BK23" s="2395" t="s">
        <v>359</v>
      </c>
      <c r="BL23" s="2394">
        <v>2020</v>
      </c>
      <c r="BM23" s="688"/>
      <c r="BN23" s="689"/>
      <c r="BO23" s="646"/>
      <c r="BP23" s="690">
        <f t="shared" si="14"/>
        <v>17</v>
      </c>
      <c r="BQ23" s="691" t="s">
        <v>332</v>
      </c>
      <c r="BR23" s="633" t="s">
        <v>341</v>
      </c>
      <c r="BS23" s="692" t="s">
        <v>341</v>
      </c>
      <c r="BT23" s="635" t="s">
        <v>359</v>
      </c>
      <c r="BU23" s="648">
        <v>2021</v>
      </c>
      <c r="BV23" s="648"/>
      <c r="BW23" s="649"/>
      <c r="BX23" s="650">
        <v>1</v>
      </c>
      <c r="BY23" s="641" t="e">
        <f t="shared" si="15"/>
        <v>#VALUE!</v>
      </c>
      <c r="BZ23" s="651" t="str">
        <f t="shared" si="16"/>
        <v>- - -</v>
      </c>
      <c r="CA23" s="652" t="str">
        <f t="shared" si="17"/>
        <v>Chánh Văn phòng Học viện, Trưởng Ban Tổ chức - Cán bộ, Trưởng Khoa Quản lý nhà nước về Xã hội</v>
      </c>
      <c r="CB23" s="653" t="str">
        <f t="shared" si="18"/>
        <v>A</v>
      </c>
      <c r="CC23" s="615" t="str">
        <f t="shared" si="19"/>
        <v>=&gt; s</v>
      </c>
      <c r="CD23" s="599">
        <f t="shared" si="20"/>
        <v>24265</v>
      </c>
      <c r="CE23" s="599" t="str">
        <f t="shared" si="21"/>
        <v>S</v>
      </c>
      <c r="CF23" s="654">
        <v>2011</v>
      </c>
      <c r="CG23" s="599" t="s">
        <v>426</v>
      </c>
      <c r="CH23" s="655"/>
      <c r="CI23" s="599"/>
      <c r="CJ23" s="656" t="str">
        <f t="shared" si="22"/>
        <v>- - -</v>
      </c>
      <c r="CK23" s="657" t="str">
        <f t="shared" si="23"/>
        <v>- - -</v>
      </c>
      <c r="CL23" s="658"/>
      <c r="CM23" s="657"/>
      <c r="CN23" s="659"/>
      <c r="CO23" s="656"/>
      <c r="CP23" s="657" t="str">
        <f t="shared" si="24"/>
        <v>- - -</v>
      </c>
      <c r="CQ23" s="658"/>
      <c r="CR23" s="657"/>
      <c r="CS23" s="659"/>
      <c r="CT23" s="660"/>
      <c r="CU23" s="661" t="str">
        <f t="shared" si="25"/>
        <v>---</v>
      </c>
      <c r="CV23" s="662" t="str">
        <f t="shared" si="26"/>
        <v>/-/ /-/</v>
      </c>
      <c r="CW23" s="663">
        <f t="shared" si="27"/>
        <v>8</v>
      </c>
      <c r="CX23" s="662">
        <f t="shared" si="28"/>
        <v>2029</v>
      </c>
      <c r="CY23" s="663">
        <f t="shared" si="29"/>
        <v>5</v>
      </c>
      <c r="CZ23" s="662">
        <f t="shared" si="30"/>
        <v>2029</v>
      </c>
      <c r="DA23" s="663">
        <f t="shared" si="31"/>
        <v>2</v>
      </c>
      <c r="DB23" s="664">
        <f t="shared" si="32"/>
        <v>2029</v>
      </c>
      <c r="DC23" s="665" t="str">
        <f t="shared" si="33"/>
        <v>- - -</v>
      </c>
      <c r="DD23" s="665" t="str">
        <f t="shared" si="34"/>
        <v>. .</v>
      </c>
      <c r="DE23" s="615"/>
      <c r="DF23" s="615">
        <f t="shared" si="35"/>
        <v>660</v>
      </c>
      <c r="DG23" s="615">
        <f t="shared" si="36"/>
        <v>-23683</v>
      </c>
      <c r="DH23" s="615">
        <f t="shared" si="37"/>
        <v>-1974</v>
      </c>
      <c r="DI23" s="615" t="str">
        <f t="shared" si="38"/>
        <v>Nữ dưới 30</v>
      </c>
      <c r="DJ23" s="615"/>
      <c r="DK23" s="641"/>
      <c r="DL23" s="657" t="str">
        <f t="shared" si="39"/>
        <v>Đến 30</v>
      </c>
      <c r="DM23" s="666" t="str">
        <f t="shared" si="40"/>
        <v>TD</v>
      </c>
      <c r="DN23" s="599">
        <v>2008</v>
      </c>
      <c r="DO23" s="667"/>
      <c r="DP23" s="666"/>
      <c r="DQ23" s="659"/>
      <c r="DR23" s="668"/>
      <c r="DS23" s="669"/>
      <c r="DT23" s="670"/>
      <c r="DU23" s="671"/>
      <c r="DV23" s="672"/>
      <c r="DW23" s="632" t="s">
        <v>460</v>
      </c>
      <c r="DX23" s="634" t="s">
        <v>126</v>
      </c>
      <c r="DY23" s="634"/>
      <c r="DZ23" s="634" t="s">
        <v>341</v>
      </c>
      <c r="EA23" s="673" t="s">
        <v>359</v>
      </c>
      <c r="EB23" s="634" t="s">
        <v>341</v>
      </c>
      <c r="EC23" s="674" t="s">
        <v>359</v>
      </c>
      <c r="ED23" s="632">
        <v>2014</v>
      </c>
      <c r="EE23" s="634">
        <f t="shared" si="41"/>
        <v>0</v>
      </c>
      <c r="EF23" s="634" t="str">
        <f t="shared" si="42"/>
        <v>- - -</v>
      </c>
      <c r="EG23" s="634" t="s">
        <v>341</v>
      </c>
      <c r="EH23" s="673" t="s">
        <v>359</v>
      </c>
      <c r="EI23" s="599" t="s">
        <v>341</v>
      </c>
      <c r="EJ23" s="656" t="s">
        <v>359</v>
      </c>
      <c r="EK23" s="675">
        <v>2014</v>
      </c>
      <c r="EL23" s="671"/>
      <c r="EM23" s="676" t="str">
        <f t="shared" si="43"/>
        <v>- - -</v>
      </c>
      <c r="EN23" s="676" t="str">
        <f t="shared" si="44"/>
        <v>---</v>
      </c>
      <c r="EO23" s="676"/>
      <c r="EP23" s="676"/>
      <c r="EQ23" s="676"/>
      <c r="ER23" s="676"/>
      <c r="ES23" s="676"/>
      <c r="ET23" s="676"/>
      <c r="EU23" s="676"/>
      <c r="EV23" s="676"/>
      <c r="EW23" s="676"/>
      <c r="EX23" s="676"/>
      <c r="EY23" s="676"/>
      <c r="EZ23" s="676"/>
      <c r="FA23" s="676"/>
      <c r="FB23" s="676"/>
      <c r="FC23" s="676"/>
      <c r="FD23" s="676"/>
      <c r="FE23" s="676"/>
      <c r="FF23" s="676"/>
      <c r="FG23" s="676"/>
      <c r="FH23" s="676"/>
      <c r="FI23" s="676"/>
      <c r="FJ23" s="676"/>
      <c r="FK23" s="677"/>
      <c r="FL23" s="677"/>
      <c r="FM23" s="677"/>
      <c r="FN23" s="677"/>
      <c r="FO23" s="677"/>
    </row>
    <row r="24" spans="1:171" s="678" customFormat="1" ht="37.5" customHeight="1" x14ac:dyDescent="0.2">
      <c r="A24" s="599">
        <v>2796</v>
      </c>
      <c r="B24" s="600">
        <v>9</v>
      </c>
      <c r="C24" s="599"/>
      <c r="D24" s="599" t="str">
        <f t="shared" si="0"/>
        <v>Bà</v>
      </c>
      <c r="E24" s="601" t="s">
        <v>43</v>
      </c>
      <c r="F24" s="599" t="s">
        <v>380</v>
      </c>
      <c r="G24" s="602" t="s">
        <v>372</v>
      </c>
      <c r="H24" s="603" t="s">
        <v>359</v>
      </c>
      <c r="I24" s="604" t="s">
        <v>346</v>
      </c>
      <c r="J24" s="603" t="s">
        <v>359</v>
      </c>
      <c r="K24" s="605">
        <v>1983</v>
      </c>
      <c r="L24" s="606" t="s">
        <v>451</v>
      </c>
      <c r="M24" s="607" t="str">
        <f t="shared" si="1"/>
        <v>VC</v>
      </c>
      <c r="N24" s="608"/>
      <c r="O24" s="609" t="e">
        <f t="shared" si="2"/>
        <v>#N/A</v>
      </c>
      <c r="P24" s="610"/>
      <c r="Q24" s="611" t="e">
        <f>VLOOKUP(P24,'- DLiêu Gốc -'!$C$2:$H$115,2,0)</f>
        <v>#N/A</v>
      </c>
      <c r="R24" s="681" t="s">
        <v>316</v>
      </c>
      <c r="S24" s="682" t="s">
        <v>119</v>
      </c>
      <c r="T24" s="612" t="str">
        <f>VLOOKUP(Y24,'- DLiêu Gốc -'!$C$2:$H$60,5,0)</f>
        <v>A1</v>
      </c>
      <c r="U24" s="613" t="str">
        <f>VLOOKUP(Y24,'- DLiêu Gốc -'!$C$2:$H$60,6,0)</f>
        <v>- - -</v>
      </c>
      <c r="V24" s="683" t="s">
        <v>424</v>
      </c>
      <c r="W24" s="684" t="str">
        <f t="shared" si="3"/>
        <v>Giảng viên (hạng III)</v>
      </c>
      <c r="X24" s="685" t="str">
        <f t="shared" si="4"/>
        <v>V.07.01.03</v>
      </c>
      <c r="Y24" s="614" t="s">
        <v>430</v>
      </c>
      <c r="Z24" s="614" t="str">
        <f>VLOOKUP(Y24,'- DLiêu Gốc -'!$C$1:$H$133,2,0)</f>
        <v>V.07.01.03</v>
      </c>
      <c r="AA24" s="615" t="str">
        <f t="shared" si="5"/>
        <v>Lương</v>
      </c>
      <c r="AB24" s="616">
        <v>5</v>
      </c>
      <c r="AC24" s="617" t="s">
        <v>359</v>
      </c>
      <c r="AD24" s="618">
        <v>9</v>
      </c>
      <c r="AE24" s="619">
        <f t="shared" si="6"/>
        <v>3.66</v>
      </c>
      <c r="AF24" s="620"/>
      <c r="AG24" s="620"/>
      <c r="AH24" s="621"/>
      <c r="AI24" s="622" t="s">
        <v>359</v>
      </c>
      <c r="AJ24" s="623"/>
      <c r="AK24" s="622" t="s">
        <v>359</v>
      </c>
      <c r="AL24" s="624"/>
      <c r="AM24" s="625"/>
      <c r="AN24" s="626"/>
      <c r="AO24" s="627">
        <f t="shared" si="7"/>
        <v>6</v>
      </c>
      <c r="AP24" s="628" t="str">
        <f t="shared" si="8"/>
        <v>/</v>
      </c>
      <c r="AQ24" s="629">
        <f t="shared" si="9"/>
        <v>9</v>
      </c>
      <c r="AR24" s="630">
        <f t="shared" si="10"/>
        <v>3.99</v>
      </c>
      <c r="AS24" s="631"/>
      <c r="AT24" s="632" t="s">
        <v>341</v>
      </c>
      <c r="AU24" s="633" t="s">
        <v>359</v>
      </c>
      <c r="AV24" s="634" t="s">
        <v>341</v>
      </c>
      <c r="AW24" s="633" t="s">
        <v>359</v>
      </c>
      <c r="AX24" s="635">
        <v>2021</v>
      </c>
      <c r="AY24" s="636"/>
      <c r="AZ24" s="637"/>
      <c r="BA24" s="638">
        <v>1.18</v>
      </c>
      <c r="BB24" s="639">
        <f t="shared" si="11"/>
        <v>3</v>
      </c>
      <c r="BC24" s="640">
        <f t="shared" si="12"/>
        <v>-24253</v>
      </c>
      <c r="BD24" s="640">
        <f>VLOOKUP(Y24,'- DLiêu Gốc -'!$C$1:$F$60,3,0)</f>
        <v>2.34</v>
      </c>
      <c r="BE24" s="641">
        <f>VLOOKUP(Y24,'- DLiêu Gốc -'!$C$1:$F$60,4,0)</f>
        <v>0.33</v>
      </c>
      <c r="BF24" s="642" t="e">
        <f t="shared" si="13"/>
        <v>#VALUE!</v>
      </c>
      <c r="BG24" s="758">
        <v>13</v>
      </c>
      <c r="BH24" s="643" t="s">
        <v>332</v>
      </c>
      <c r="BI24" s="644" t="s">
        <v>341</v>
      </c>
      <c r="BJ24" s="1426" t="s">
        <v>341</v>
      </c>
      <c r="BK24" s="2395" t="s">
        <v>359</v>
      </c>
      <c r="BL24" s="2394">
        <v>2020</v>
      </c>
      <c r="BM24" s="688"/>
      <c r="BN24" s="689"/>
      <c r="BO24" s="646"/>
      <c r="BP24" s="690">
        <f t="shared" si="14"/>
        <v>14</v>
      </c>
      <c r="BQ24" s="691" t="s">
        <v>332</v>
      </c>
      <c r="BR24" s="633" t="s">
        <v>341</v>
      </c>
      <c r="BS24" s="692" t="s">
        <v>341</v>
      </c>
      <c r="BT24" s="635" t="s">
        <v>359</v>
      </c>
      <c r="BU24" s="648">
        <v>2021</v>
      </c>
      <c r="BV24" s="648"/>
      <c r="BW24" s="649"/>
      <c r="BX24" s="650">
        <v>1</v>
      </c>
      <c r="BY24" s="641" t="e">
        <f t="shared" si="15"/>
        <v>#VALUE!</v>
      </c>
      <c r="BZ24" s="651" t="str">
        <f t="shared" si="16"/>
        <v>- - -</v>
      </c>
      <c r="CA24" s="652" t="str">
        <f t="shared" si="17"/>
        <v>Chánh Văn phòng Học viện, Trưởng Ban Tổ chức - Cán bộ, Trưởng Khoa Văn bản và Công nghệ hành chính</v>
      </c>
      <c r="CB24" s="653" t="str">
        <f t="shared" si="18"/>
        <v>A</v>
      </c>
      <c r="CC24" s="615" t="str">
        <f t="shared" si="19"/>
        <v>=&gt; s</v>
      </c>
      <c r="CD24" s="599">
        <f t="shared" si="20"/>
        <v>24277</v>
      </c>
      <c r="CE24" s="599" t="str">
        <f t="shared" si="21"/>
        <v>S</v>
      </c>
      <c r="CF24" s="654">
        <v>2012</v>
      </c>
      <c r="CG24" s="599" t="s">
        <v>426</v>
      </c>
      <c r="CH24" s="655"/>
      <c r="CI24" s="599"/>
      <c r="CJ24" s="656" t="str">
        <f t="shared" si="22"/>
        <v>Cùg Ng</v>
      </c>
      <c r="CK24" s="657" t="str">
        <f t="shared" si="23"/>
        <v>- - -</v>
      </c>
      <c r="CL24" s="658"/>
      <c r="CM24" s="657"/>
      <c r="CN24" s="659"/>
      <c r="CO24" s="656"/>
      <c r="CP24" s="657" t="str">
        <f t="shared" si="24"/>
        <v>- - -</v>
      </c>
      <c r="CQ24" s="658"/>
      <c r="CR24" s="657"/>
      <c r="CS24" s="659"/>
      <c r="CT24" s="660"/>
      <c r="CU24" s="661" t="str">
        <f t="shared" si="25"/>
        <v>---</v>
      </c>
      <c r="CV24" s="662" t="str">
        <f t="shared" si="26"/>
        <v>/-/ /-/</v>
      </c>
      <c r="CW24" s="663">
        <f t="shared" si="27"/>
        <v>4</v>
      </c>
      <c r="CX24" s="662">
        <f t="shared" si="28"/>
        <v>2038</v>
      </c>
      <c r="CY24" s="663">
        <f t="shared" si="29"/>
        <v>1</v>
      </c>
      <c r="CZ24" s="662">
        <f t="shared" si="30"/>
        <v>2038</v>
      </c>
      <c r="DA24" s="663">
        <f t="shared" si="31"/>
        <v>10</v>
      </c>
      <c r="DB24" s="664">
        <f t="shared" si="32"/>
        <v>2037</v>
      </c>
      <c r="DC24" s="665" t="str">
        <f t="shared" si="33"/>
        <v>- - -</v>
      </c>
      <c r="DD24" s="665" t="str">
        <f t="shared" si="34"/>
        <v>. .</v>
      </c>
      <c r="DE24" s="615"/>
      <c r="DF24" s="615">
        <f t="shared" si="35"/>
        <v>660</v>
      </c>
      <c r="DG24" s="615">
        <f t="shared" si="36"/>
        <v>-23787</v>
      </c>
      <c r="DH24" s="615">
        <f t="shared" si="37"/>
        <v>-1983</v>
      </c>
      <c r="DI24" s="615" t="str">
        <f t="shared" si="38"/>
        <v>Nữ dưới 30</v>
      </c>
      <c r="DJ24" s="615"/>
      <c r="DK24" s="641"/>
      <c r="DL24" s="657" t="str">
        <f t="shared" si="39"/>
        <v>Đến 30</v>
      </c>
      <c r="DM24" s="666" t="str">
        <f t="shared" si="40"/>
        <v>TD</v>
      </c>
      <c r="DN24" s="599">
        <v>2012</v>
      </c>
      <c r="DO24" s="667"/>
      <c r="DP24" s="666"/>
      <c r="DQ24" s="659"/>
      <c r="DR24" s="668"/>
      <c r="DS24" s="669"/>
      <c r="DT24" s="670"/>
      <c r="DU24" s="671"/>
      <c r="DV24" s="672"/>
      <c r="DW24" s="632" t="s">
        <v>316</v>
      </c>
      <c r="DX24" s="634" t="s">
        <v>119</v>
      </c>
      <c r="DY24" s="634" t="s">
        <v>316</v>
      </c>
      <c r="DZ24" s="634" t="s">
        <v>341</v>
      </c>
      <c r="EA24" s="673" t="s">
        <v>359</v>
      </c>
      <c r="EB24" s="634" t="s">
        <v>341</v>
      </c>
      <c r="EC24" s="674" t="s">
        <v>359</v>
      </c>
      <c r="ED24" s="632">
        <v>2012</v>
      </c>
      <c r="EE24" s="634">
        <f t="shared" si="41"/>
        <v>0</v>
      </c>
      <c r="EF24" s="634" t="str">
        <f t="shared" si="42"/>
        <v>- - -</v>
      </c>
      <c r="EG24" s="634" t="s">
        <v>341</v>
      </c>
      <c r="EH24" s="673" t="s">
        <v>359</v>
      </c>
      <c r="EI24" s="599" t="s">
        <v>341</v>
      </c>
      <c r="EJ24" s="656" t="s">
        <v>359</v>
      </c>
      <c r="EK24" s="675">
        <v>2012</v>
      </c>
      <c r="EL24" s="671"/>
      <c r="EM24" s="676" t="str">
        <f t="shared" si="43"/>
        <v>- - -</v>
      </c>
      <c r="EN24" s="676" t="str">
        <f t="shared" si="44"/>
        <v>---</v>
      </c>
      <c r="EO24" s="676"/>
      <c r="EP24" s="676"/>
      <c r="EQ24" s="676"/>
      <c r="ER24" s="676"/>
      <c r="ES24" s="676"/>
      <c r="ET24" s="676"/>
      <c r="EU24" s="676"/>
      <c r="EV24" s="676"/>
      <c r="EW24" s="676"/>
      <c r="EX24" s="676"/>
      <c r="EY24" s="676"/>
      <c r="EZ24" s="676"/>
      <c r="FA24" s="676"/>
      <c r="FB24" s="676"/>
      <c r="FC24" s="676"/>
      <c r="FD24" s="676"/>
      <c r="FE24" s="676"/>
      <c r="FF24" s="676"/>
      <c r="FG24" s="676"/>
      <c r="FH24" s="676"/>
      <c r="FI24" s="676"/>
      <c r="FJ24" s="676"/>
      <c r="FK24" s="677"/>
      <c r="FL24" s="677"/>
      <c r="FM24" s="677"/>
      <c r="FN24" s="677"/>
      <c r="FO24" s="677"/>
    </row>
    <row r="25" spans="1:171" s="678" customFormat="1" ht="37.5" customHeight="1" x14ac:dyDescent="0.2">
      <c r="A25" s="599">
        <v>3132</v>
      </c>
      <c r="B25" s="600">
        <v>10</v>
      </c>
      <c r="C25" s="599"/>
      <c r="D25" s="599" t="str">
        <f t="shared" si="0"/>
        <v>Ông</v>
      </c>
      <c r="E25" s="601" t="s">
        <v>54</v>
      </c>
      <c r="F25" s="599" t="s">
        <v>378</v>
      </c>
      <c r="G25" s="602" t="s">
        <v>268</v>
      </c>
      <c r="H25" s="603" t="s">
        <v>359</v>
      </c>
      <c r="I25" s="604" t="s">
        <v>345</v>
      </c>
      <c r="J25" s="603" t="s">
        <v>359</v>
      </c>
      <c r="K25" s="605" t="s">
        <v>0</v>
      </c>
      <c r="L25" s="606" t="s">
        <v>451</v>
      </c>
      <c r="M25" s="607" t="str">
        <f t="shared" si="1"/>
        <v>VC</v>
      </c>
      <c r="N25" s="608"/>
      <c r="O25" s="609" t="e">
        <f t="shared" si="2"/>
        <v>#N/A</v>
      </c>
      <c r="P25" s="610"/>
      <c r="Q25" s="611" t="e">
        <f>VLOOKUP(P25,'[1]- DLiêu Gốc (Không sửa)'!$C$2:$H$116,2,0)</f>
        <v>#N/A</v>
      </c>
      <c r="R25" s="681" t="s">
        <v>602</v>
      </c>
      <c r="S25" s="682" t="s">
        <v>119</v>
      </c>
      <c r="T25" s="612" t="str">
        <f>VLOOKUP(Y25,'- DLiêu Gốc -'!$C$2:$H$60,5,0)</f>
        <v>A1</v>
      </c>
      <c r="U25" s="613" t="str">
        <f>VLOOKUP(Y25,'- DLiêu Gốc -'!$C$2:$H$60,6,0)</f>
        <v>- - -</v>
      </c>
      <c r="V25" s="683" t="s">
        <v>424</v>
      </c>
      <c r="W25" s="684" t="str">
        <f t="shared" si="3"/>
        <v>Giảng viên (hạng III)</v>
      </c>
      <c r="X25" s="685" t="str">
        <f t="shared" si="4"/>
        <v>V.07.01.03</v>
      </c>
      <c r="Y25" s="614" t="s">
        <v>430</v>
      </c>
      <c r="Z25" s="614" t="str">
        <f>VLOOKUP(Y25,'- DLiêu Gốc -'!$C$1:$H$133,2,0)</f>
        <v>V.07.01.03</v>
      </c>
      <c r="AA25" s="615" t="str">
        <f t="shared" si="5"/>
        <v>Lương</v>
      </c>
      <c r="AB25" s="616">
        <v>6</v>
      </c>
      <c r="AC25" s="617" t="s">
        <v>359</v>
      </c>
      <c r="AD25" s="618">
        <f>IF(OR(BE25=0.18,BE25=0.2),12,IF(BE25=0.31,10,IF(BE25=0.33,9,IF(BE25=0.34,8,IF(BE25=0.36,6)))))</f>
        <v>9</v>
      </c>
      <c r="AE25" s="619">
        <v>3.99</v>
      </c>
      <c r="AF25" s="620"/>
      <c r="AG25" s="620"/>
      <c r="AH25" s="621" t="s">
        <v>341</v>
      </c>
      <c r="AI25" s="622" t="s">
        <v>359</v>
      </c>
      <c r="AJ25" s="623" t="s">
        <v>342</v>
      </c>
      <c r="AK25" s="622" t="s">
        <v>359</v>
      </c>
      <c r="AL25" s="624">
        <v>2017</v>
      </c>
      <c r="AM25" s="625"/>
      <c r="AN25" s="626"/>
      <c r="AO25" s="627">
        <f t="shared" si="7"/>
        <v>7</v>
      </c>
      <c r="AP25" s="628" t="str">
        <f t="shared" si="8"/>
        <v>/</v>
      </c>
      <c r="AQ25" s="629">
        <f t="shared" si="9"/>
        <v>9</v>
      </c>
      <c r="AR25" s="630">
        <f t="shared" si="10"/>
        <v>4.32</v>
      </c>
      <c r="AS25" s="631"/>
      <c r="AT25" s="632" t="s">
        <v>341</v>
      </c>
      <c r="AU25" s="633" t="s">
        <v>359</v>
      </c>
      <c r="AV25" s="634" t="s">
        <v>342</v>
      </c>
      <c r="AW25" s="633" t="s">
        <v>359</v>
      </c>
      <c r="AX25" s="635">
        <v>2019</v>
      </c>
      <c r="AY25" s="636"/>
      <c r="AZ25" s="637" t="s">
        <v>621</v>
      </c>
      <c r="BA25" s="638"/>
      <c r="BB25" s="639">
        <f t="shared" si="11"/>
        <v>3</v>
      </c>
      <c r="BC25" s="640">
        <f t="shared" si="12"/>
        <v>-24230</v>
      </c>
      <c r="BD25" s="640">
        <f>VLOOKUP(Y25,'- DLiêu Gốc -'!$C$1:$F$60,3,0)</f>
        <v>2.34</v>
      </c>
      <c r="BE25" s="641">
        <f>VLOOKUP(Y25,'- DLiêu Gốc -'!$C$1:$F$60,4,0)</f>
        <v>0.33</v>
      </c>
      <c r="BF25" s="642" t="e">
        <f t="shared" si="13"/>
        <v>#VALUE!</v>
      </c>
      <c r="BG25" s="758">
        <v>15</v>
      </c>
      <c r="BH25" s="643" t="s">
        <v>332</v>
      </c>
      <c r="BI25" s="644" t="s">
        <v>341</v>
      </c>
      <c r="BJ25" s="1426" t="s">
        <v>341</v>
      </c>
      <c r="BK25" s="2395" t="s">
        <v>359</v>
      </c>
      <c r="BL25" s="2394">
        <v>2020</v>
      </c>
      <c r="BM25" s="688"/>
      <c r="BN25" s="689"/>
      <c r="BO25" s="646"/>
      <c r="BP25" s="690">
        <f t="shared" si="14"/>
        <v>16</v>
      </c>
      <c r="BQ25" s="691" t="s">
        <v>332</v>
      </c>
      <c r="BR25" s="633" t="s">
        <v>341</v>
      </c>
      <c r="BS25" s="692" t="s">
        <v>341</v>
      </c>
      <c r="BT25" s="635" t="s">
        <v>359</v>
      </c>
      <c r="BU25" s="648">
        <v>2021</v>
      </c>
      <c r="BV25" s="648"/>
      <c r="BW25" s="649"/>
      <c r="BX25" s="650">
        <v>1</v>
      </c>
      <c r="BY25" s="641" t="e">
        <f t="shared" si="15"/>
        <v>#VALUE!</v>
      </c>
      <c r="BZ25" s="651" t="str">
        <f t="shared" si="16"/>
        <v>- - -</v>
      </c>
      <c r="CA25" s="652" t="str">
        <f t="shared" si="17"/>
        <v>Chánh Văn phòng Học viện, Trưởng Ban Tổ chức - Cán bộ, Trưởng Khoa Văn bản và Công nghệ hành chính</v>
      </c>
      <c r="CB25" s="653" t="str">
        <f t="shared" si="18"/>
        <v>A</v>
      </c>
      <c r="CC25" s="615" t="str">
        <f t="shared" si="19"/>
        <v>=&gt; s</v>
      </c>
      <c r="CD25" s="599">
        <f t="shared" si="20"/>
        <v>24254</v>
      </c>
      <c r="CE25" s="599" t="str">
        <f t="shared" si="21"/>
        <v>---</v>
      </c>
      <c r="CF25" s="654"/>
      <c r="CG25" s="599"/>
      <c r="CH25" s="655"/>
      <c r="CI25" s="599"/>
      <c r="CJ25" s="656" t="str">
        <f t="shared" si="22"/>
        <v>- - -</v>
      </c>
      <c r="CK25" s="657" t="str">
        <f t="shared" si="23"/>
        <v>- - -</v>
      </c>
      <c r="CL25" s="658"/>
      <c r="CM25" s="657"/>
      <c r="CN25" s="659"/>
      <c r="CO25" s="656"/>
      <c r="CP25" s="657" t="str">
        <f t="shared" si="24"/>
        <v>- - -</v>
      </c>
      <c r="CQ25" s="658"/>
      <c r="CR25" s="657"/>
      <c r="CS25" s="659"/>
      <c r="CT25" s="660"/>
      <c r="CU25" s="661" t="str">
        <f t="shared" si="25"/>
        <v>---</v>
      </c>
      <c r="CV25" s="662" t="str">
        <f t="shared" si="26"/>
        <v>/-/ /-/</v>
      </c>
      <c r="CW25" s="663">
        <f t="shared" si="27"/>
        <v>9</v>
      </c>
      <c r="CX25" s="662">
        <f t="shared" si="28"/>
        <v>2036</v>
      </c>
      <c r="CY25" s="663">
        <f t="shared" si="29"/>
        <v>6</v>
      </c>
      <c r="CZ25" s="662">
        <f t="shared" si="30"/>
        <v>2036</v>
      </c>
      <c r="DA25" s="663">
        <f t="shared" si="31"/>
        <v>3</v>
      </c>
      <c r="DB25" s="664">
        <f t="shared" si="32"/>
        <v>2036</v>
      </c>
      <c r="DC25" s="665" t="str">
        <f t="shared" si="33"/>
        <v>- - -</v>
      </c>
      <c r="DD25" s="665" t="str">
        <f t="shared" si="34"/>
        <v>. .</v>
      </c>
      <c r="DE25" s="615"/>
      <c r="DF25" s="615">
        <f t="shared" si="35"/>
        <v>720</v>
      </c>
      <c r="DG25" s="615">
        <f t="shared" si="36"/>
        <v>-23708</v>
      </c>
      <c r="DH25" s="615">
        <f t="shared" si="37"/>
        <v>-1976</v>
      </c>
      <c r="DI25" s="615" t="str">
        <f t="shared" si="38"/>
        <v>Nam dưới 35</v>
      </c>
      <c r="DJ25" s="615"/>
      <c r="DK25" s="641"/>
      <c r="DL25" s="657" t="str">
        <f t="shared" si="39"/>
        <v>Đến 30</v>
      </c>
      <c r="DM25" s="666" t="str">
        <f>IF(DN25&gt;0,"TD","--")</f>
        <v>TD</v>
      </c>
      <c r="DN25" s="599">
        <v>2012</v>
      </c>
      <c r="DO25" s="667"/>
      <c r="DP25" s="666"/>
      <c r="DQ25" s="659"/>
      <c r="DR25" s="668"/>
      <c r="DS25" s="669"/>
      <c r="DT25" s="670"/>
      <c r="DU25" s="671"/>
      <c r="DV25" s="672"/>
      <c r="DW25" s="632"/>
      <c r="DX25" s="634" t="s">
        <v>361</v>
      </c>
      <c r="DY25" s="634"/>
      <c r="DZ25" s="634" t="s">
        <v>341</v>
      </c>
      <c r="EA25" s="673" t="s">
        <v>359</v>
      </c>
      <c r="EB25" s="634" t="s">
        <v>342</v>
      </c>
      <c r="EC25" s="674" t="s">
        <v>359</v>
      </c>
      <c r="ED25" s="632" t="s">
        <v>362</v>
      </c>
      <c r="EE25" s="634">
        <f t="shared" si="41"/>
        <v>0</v>
      </c>
      <c r="EF25" s="634" t="str">
        <f t="shared" si="42"/>
        <v>- - -</v>
      </c>
      <c r="EG25" s="634" t="s">
        <v>341</v>
      </c>
      <c r="EH25" s="673" t="s">
        <v>359</v>
      </c>
      <c r="EI25" s="599" t="s">
        <v>342</v>
      </c>
      <c r="EJ25" s="656" t="s">
        <v>359</v>
      </c>
      <c r="EK25" s="675" t="s">
        <v>362</v>
      </c>
      <c r="EL25" s="671"/>
      <c r="EM25" s="676" t="str">
        <f t="shared" si="43"/>
        <v>- - -</v>
      </c>
      <c r="EN25" s="676" t="str">
        <f t="shared" si="44"/>
        <v>---</v>
      </c>
      <c r="EO25" s="676"/>
      <c r="EP25" s="676"/>
      <c r="EQ25" s="676"/>
      <c r="ER25" s="676"/>
      <c r="ES25" s="676"/>
      <c r="ET25" s="676"/>
      <c r="EU25" s="676"/>
      <c r="EV25" s="676"/>
      <c r="EW25" s="676"/>
      <c r="EX25" s="676"/>
      <c r="EY25" s="676"/>
      <c r="EZ25" s="676"/>
      <c r="FA25" s="676"/>
      <c r="FB25" s="676"/>
      <c r="FC25" s="676"/>
      <c r="FD25" s="676"/>
      <c r="FE25" s="676"/>
      <c r="FF25" s="676"/>
      <c r="FG25" s="676"/>
      <c r="FH25" s="676"/>
      <c r="FI25" s="676"/>
      <c r="FJ25" s="676"/>
      <c r="FK25" s="677"/>
      <c r="FL25" s="677"/>
      <c r="FM25" s="677"/>
      <c r="FN25" s="677"/>
      <c r="FO25" s="677"/>
    </row>
    <row r="26" spans="1:171" s="678" customFormat="1" ht="37.5" customHeight="1" x14ac:dyDescent="0.2">
      <c r="A26" s="599">
        <v>3468</v>
      </c>
      <c r="B26" s="600">
        <v>11</v>
      </c>
      <c r="C26" s="599"/>
      <c r="D26" s="599" t="str">
        <f t="shared" si="0"/>
        <v>Bà</v>
      </c>
      <c r="E26" s="601" t="s">
        <v>3</v>
      </c>
      <c r="F26" s="599" t="s">
        <v>380</v>
      </c>
      <c r="G26" s="602" t="s">
        <v>382</v>
      </c>
      <c r="H26" s="603" t="s">
        <v>359</v>
      </c>
      <c r="I26" s="604" t="s">
        <v>342</v>
      </c>
      <c r="J26" s="603" t="s">
        <v>359</v>
      </c>
      <c r="K26" s="605">
        <v>1976</v>
      </c>
      <c r="L26" s="606" t="s">
        <v>451</v>
      </c>
      <c r="M26" s="607" t="str">
        <f t="shared" si="1"/>
        <v>VC</v>
      </c>
      <c r="N26" s="608"/>
      <c r="O26" s="609" t="e">
        <f t="shared" si="2"/>
        <v>#N/A</v>
      </c>
      <c r="P26" s="610"/>
      <c r="Q26" s="611" t="e">
        <f>VLOOKUP(P26,'[1]- DLiêu Gốc (Không sửa)'!$C$2:$H$116,2,0)</f>
        <v>#N/A</v>
      </c>
      <c r="R26" s="681" t="s">
        <v>602</v>
      </c>
      <c r="S26" s="682" t="s">
        <v>119</v>
      </c>
      <c r="T26" s="612" t="str">
        <f>VLOOKUP(Y26,'- DLiêu Gốc -'!$C$2:$H$60,5,0)</f>
        <v>A1</v>
      </c>
      <c r="U26" s="613" t="str">
        <f>VLOOKUP(Y26,'- DLiêu Gốc -'!$C$2:$H$60,6,0)</f>
        <v>- - -</v>
      </c>
      <c r="V26" s="683" t="s">
        <v>424</v>
      </c>
      <c r="W26" s="684" t="str">
        <f t="shared" si="3"/>
        <v>Giảng viên (hạng III)</v>
      </c>
      <c r="X26" s="685" t="str">
        <f t="shared" si="4"/>
        <v>V.07.01.03</v>
      </c>
      <c r="Y26" s="614" t="s">
        <v>430</v>
      </c>
      <c r="Z26" s="614" t="str">
        <f>VLOOKUP(Y26,'- DLiêu Gốc -'!$C$1:$H$133,2,0)</f>
        <v>V.07.01.03</v>
      </c>
      <c r="AA26" s="615" t="str">
        <f t="shared" si="5"/>
        <v>Lương</v>
      </c>
      <c r="AB26" s="616">
        <v>7</v>
      </c>
      <c r="AC26" s="617" t="s">
        <v>359</v>
      </c>
      <c r="AD26" s="618">
        <v>9</v>
      </c>
      <c r="AE26" s="619">
        <f>BD26+(AB26-1)*BE26</f>
        <v>4.32</v>
      </c>
      <c r="AF26" s="620"/>
      <c r="AG26" s="620"/>
      <c r="AH26" s="621"/>
      <c r="AI26" s="622" t="s">
        <v>359</v>
      </c>
      <c r="AJ26" s="623"/>
      <c r="AK26" s="622" t="s">
        <v>359</v>
      </c>
      <c r="AL26" s="624"/>
      <c r="AM26" s="625"/>
      <c r="AN26" s="626"/>
      <c r="AO26" s="627">
        <f t="shared" si="7"/>
        <v>8</v>
      </c>
      <c r="AP26" s="628" t="str">
        <f t="shared" si="8"/>
        <v>/</v>
      </c>
      <c r="AQ26" s="629">
        <f t="shared" si="9"/>
        <v>9</v>
      </c>
      <c r="AR26" s="630">
        <f t="shared" si="10"/>
        <v>4.6500000000000004</v>
      </c>
      <c r="AS26" s="631"/>
      <c r="AT26" s="632" t="s">
        <v>341</v>
      </c>
      <c r="AU26" s="633" t="s">
        <v>359</v>
      </c>
      <c r="AV26" s="634" t="s">
        <v>370</v>
      </c>
      <c r="AW26" s="633" t="s">
        <v>359</v>
      </c>
      <c r="AX26" s="635">
        <v>2020</v>
      </c>
      <c r="AY26" s="636"/>
      <c r="AZ26" s="637"/>
      <c r="BA26" s="638"/>
      <c r="BB26" s="639">
        <f t="shared" si="11"/>
        <v>3</v>
      </c>
      <c r="BC26" s="640">
        <f t="shared" si="12"/>
        <v>-24250</v>
      </c>
      <c r="BD26" s="640">
        <f>VLOOKUP(Y26,'- DLiêu Gốc -'!$C$1:$F$60,3,0)</f>
        <v>2.34</v>
      </c>
      <c r="BE26" s="641">
        <f>VLOOKUP(Y26,'- DLiêu Gốc -'!$C$1:$F$60,4,0)</f>
        <v>0.33</v>
      </c>
      <c r="BF26" s="642" t="e">
        <f t="shared" si="13"/>
        <v>#VALUE!</v>
      </c>
      <c r="BG26" s="758">
        <v>17</v>
      </c>
      <c r="BH26" s="643" t="s">
        <v>332</v>
      </c>
      <c r="BI26" s="644" t="s">
        <v>341</v>
      </c>
      <c r="BJ26" s="1426" t="s">
        <v>341</v>
      </c>
      <c r="BK26" s="2395" t="s">
        <v>359</v>
      </c>
      <c r="BL26" s="2394">
        <v>2020</v>
      </c>
      <c r="BM26" s="688"/>
      <c r="BN26" s="689"/>
      <c r="BO26" s="646"/>
      <c r="BP26" s="690">
        <f t="shared" si="14"/>
        <v>18</v>
      </c>
      <c r="BQ26" s="691" t="s">
        <v>332</v>
      </c>
      <c r="BR26" s="633" t="s">
        <v>341</v>
      </c>
      <c r="BS26" s="692" t="s">
        <v>341</v>
      </c>
      <c r="BT26" s="635" t="s">
        <v>359</v>
      </c>
      <c r="BU26" s="648">
        <v>2021</v>
      </c>
      <c r="BV26" s="648"/>
      <c r="BW26" s="649"/>
      <c r="BX26" s="650">
        <v>1</v>
      </c>
      <c r="BY26" s="641" t="e">
        <f t="shared" si="15"/>
        <v>#VALUE!</v>
      </c>
      <c r="BZ26" s="651" t="str">
        <f t="shared" si="16"/>
        <v>- - -</v>
      </c>
      <c r="CA26" s="652" t="str">
        <f t="shared" si="17"/>
        <v>Chánh Văn phòng Học viện, Trưởng Ban Tổ chức - Cán bộ, Trưởng Khoa Văn bản và Công nghệ hành chính</v>
      </c>
      <c r="CB26" s="653" t="str">
        <f t="shared" si="18"/>
        <v>A</v>
      </c>
      <c r="CC26" s="615" t="str">
        <f t="shared" si="19"/>
        <v>=&gt; s</v>
      </c>
      <c r="CD26" s="599">
        <f t="shared" si="20"/>
        <v>24274</v>
      </c>
      <c r="CE26" s="599" t="str">
        <f t="shared" si="21"/>
        <v>S</v>
      </c>
      <c r="CF26" s="654">
        <v>2017</v>
      </c>
      <c r="CG26" s="599"/>
      <c r="CH26" s="655"/>
      <c r="CI26" s="599"/>
      <c r="CJ26" s="656" t="str">
        <f t="shared" si="22"/>
        <v>- - -</v>
      </c>
      <c r="CK26" s="657" t="str">
        <f t="shared" si="23"/>
        <v>- - -</v>
      </c>
      <c r="CL26" s="658"/>
      <c r="CM26" s="657"/>
      <c r="CN26" s="659"/>
      <c r="CO26" s="656"/>
      <c r="CP26" s="657" t="str">
        <f t="shared" si="24"/>
        <v>- - -</v>
      </c>
      <c r="CQ26" s="658"/>
      <c r="CR26" s="657"/>
      <c r="CS26" s="659"/>
      <c r="CT26" s="660"/>
      <c r="CU26" s="661" t="str">
        <f t="shared" si="25"/>
        <v>---</v>
      </c>
      <c r="CV26" s="662" t="str">
        <f t="shared" si="26"/>
        <v>/-/ /-/</v>
      </c>
      <c r="CW26" s="663">
        <f t="shared" si="27"/>
        <v>3</v>
      </c>
      <c r="CX26" s="662">
        <f t="shared" si="28"/>
        <v>2031</v>
      </c>
      <c r="CY26" s="663">
        <f t="shared" si="29"/>
        <v>12</v>
      </c>
      <c r="CZ26" s="662">
        <f t="shared" si="30"/>
        <v>2030</v>
      </c>
      <c r="DA26" s="663">
        <f t="shared" si="31"/>
        <v>9</v>
      </c>
      <c r="DB26" s="664">
        <f t="shared" si="32"/>
        <v>2030</v>
      </c>
      <c r="DC26" s="665" t="str">
        <f t="shared" si="33"/>
        <v>- - -</v>
      </c>
      <c r="DD26" s="665" t="str">
        <f t="shared" si="34"/>
        <v>. .</v>
      </c>
      <c r="DE26" s="615"/>
      <c r="DF26" s="615">
        <f t="shared" si="35"/>
        <v>660</v>
      </c>
      <c r="DG26" s="615">
        <f t="shared" si="36"/>
        <v>-23702</v>
      </c>
      <c r="DH26" s="615">
        <f t="shared" si="37"/>
        <v>-1976</v>
      </c>
      <c r="DI26" s="615" t="str">
        <f t="shared" si="38"/>
        <v>Nữ dưới 30</v>
      </c>
      <c r="DJ26" s="615"/>
      <c r="DK26" s="641"/>
      <c r="DL26" s="657" t="str">
        <f t="shared" si="39"/>
        <v>Đến 30</v>
      </c>
      <c r="DM26" s="666" t="str">
        <f>IF(DN26&gt;0,"TD","--")</f>
        <v>--</v>
      </c>
      <c r="DN26" s="599"/>
      <c r="DO26" s="667"/>
      <c r="DP26" s="666"/>
      <c r="DQ26" s="659"/>
      <c r="DR26" s="668"/>
      <c r="DS26" s="669"/>
      <c r="DT26" s="670"/>
      <c r="DU26" s="671"/>
      <c r="DV26" s="672"/>
      <c r="DW26" s="632"/>
      <c r="DX26" s="634" t="s">
        <v>361</v>
      </c>
      <c r="DY26" s="634"/>
      <c r="DZ26" s="634" t="s">
        <v>341</v>
      </c>
      <c r="EA26" s="673" t="s">
        <v>359</v>
      </c>
      <c r="EB26" s="634" t="s">
        <v>376</v>
      </c>
      <c r="EC26" s="674" t="s">
        <v>359</v>
      </c>
      <c r="ED26" s="632">
        <v>2012</v>
      </c>
      <c r="EE26" s="634">
        <f t="shared" si="41"/>
        <v>0</v>
      </c>
      <c r="EF26" s="634" t="str">
        <f t="shared" si="42"/>
        <v>- - -</v>
      </c>
      <c r="EG26" s="634" t="s">
        <v>341</v>
      </c>
      <c r="EH26" s="673" t="s">
        <v>359</v>
      </c>
      <c r="EI26" s="599" t="s">
        <v>376</v>
      </c>
      <c r="EJ26" s="656" t="s">
        <v>359</v>
      </c>
      <c r="EK26" s="675">
        <v>2012</v>
      </c>
      <c r="EL26" s="671"/>
      <c r="EM26" s="676" t="str">
        <f t="shared" si="43"/>
        <v>- - -</v>
      </c>
      <c r="EN26" s="676" t="str">
        <f t="shared" si="44"/>
        <v>---</v>
      </c>
      <c r="EO26" s="676"/>
      <c r="EP26" s="676"/>
      <c r="EQ26" s="676"/>
      <c r="ER26" s="676"/>
      <c r="ES26" s="676"/>
      <c r="ET26" s="676"/>
      <c r="EU26" s="676"/>
      <c r="EV26" s="676"/>
      <c r="EW26" s="676"/>
      <c r="EX26" s="676"/>
      <c r="EY26" s="676"/>
      <c r="EZ26" s="676"/>
      <c r="FA26" s="676"/>
      <c r="FB26" s="676"/>
      <c r="FC26" s="676"/>
      <c r="FD26" s="676"/>
      <c r="FE26" s="676"/>
      <c r="FF26" s="676"/>
      <c r="FG26" s="676"/>
      <c r="FH26" s="676"/>
      <c r="FI26" s="676"/>
      <c r="FJ26" s="676"/>
      <c r="FK26" s="677"/>
      <c r="FL26" s="677"/>
      <c r="FM26" s="677"/>
      <c r="FN26" s="677"/>
      <c r="FO26" s="677"/>
    </row>
    <row r="27" spans="1:171" s="678" customFormat="1" ht="37.5" customHeight="1" x14ac:dyDescent="0.2">
      <c r="A27" s="599">
        <v>3804</v>
      </c>
      <c r="B27" s="600">
        <v>12</v>
      </c>
      <c r="C27" s="599"/>
      <c r="D27" s="599" t="str">
        <f t="shared" si="0"/>
        <v>Ông</v>
      </c>
      <c r="E27" s="2396" t="s">
        <v>69</v>
      </c>
      <c r="F27" s="599" t="s">
        <v>378</v>
      </c>
      <c r="G27" s="602" t="s">
        <v>349</v>
      </c>
      <c r="H27" s="603" t="s">
        <v>359</v>
      </c>
      <c r="I27" s="604" t="s">
        <v>344</v>
      </c>
      <c r="J27" s="603" t="s">
        <v>359</v>
      </c>
      <c r="K27" s="605" t="s">
        <v>8</v>
      </c>
      <c r="L27" s="606" t="s">
        <v>451</v>
      </c>
      <c r="M27" s="607" t="str">
        <f t="shared" si="1"/>
        <v>VC</v>
      </c>
      <c r="N27" s="608"/>
      <c r="O27" s="609" t="e">
        <f t="shared" si="2"/>
        <v>#N/A</v>
      </c>
      <c r="P27" s="610"/>
      <c r="Q27" s="611" t="e">
        <f>VLOOKUP(P27,'[1]- DLiêu Gốc (Không sửa)'!$C$2:$H$116,2,0)</f>
        <v>#N/A</v>
      </c>
      <c r="R27" s="681" t="s">
        <v>572</v>
      </c>
      <c r="S27" s="682" t="s">
        <v>569</v>
      </c>
      <c r="T27" s="612" t="str">
        <f>VLOOKUP(Y27,'- DLiêu Gốc -'!$C$2:$H$60,5,0)</f>
        <v>A1</v>
      </c>
      <c r="U27" s="613" t="str">
        <f>VLOOKUP(Y27,'- DLiêu Gốc -'!$C$2:$H$60,6,0)</f>
        <v>- - -</v>
      </c>
      <c r="V27" s="683" t="s">
        <v>425</v>
      </c>
      <c r="W27" s="684" t="str">
        <f t="shared" si="3"/>
        <v>Giáo viên trung học</v>
      </c>
      <c r="X27" s="685" t="str">
        <f t="shared" si="4"/>
        <v>15.113</v>
      </c>
      <c r="Y27" s="614" t="s">
        <v>311</v>
      </c>
      <c r="Z27" s="614" t="str">
        <f>VLOOKUP(Y27,'- DLiêu Gốc -'!$C$1:$H$133,2,0)</f>
        <v>15.113</v>
      </c>
      <c r="AA27" s="615" t="str">
        <f t="shared" si="5"/>
        <v>Lương</v>
      </c>
      <c r="AB27" s="616">
        <v>8</v>
      </c>
      <c r="AC27" s="617" t="str">
        <f>IF(AD27&gt;0,"/")</f>
        <v>/</v>
      </c>
      <c r="AD27" s="618">
        <f>IF(OR(BE27=0.18,BE27=0.2),12,IF(BE27=0.31,10,IF(BE27=0.33,9,IF(BE27=0.34,8,IF(BE27=0.36,6)))))</f>
        <v>9</v>
      </c>
      <c r="AE27" s="619">
        <f>BD27+(AB27-1)*BE27</f>
        <v>4.6500000000000004</v>
      </c>
      <c r="AF27" s="620"/>
      <c r="AG27" s="620"/>
      <c r="AH27" s="621" t="s">
        <v>341</v>
      </c>
      <c r="AI27" s="622" t="s">
        <v>359</v>
      </c>
      <c r="AJ27" s="623" t="s">
        <v>370</v>
      </c>
      <c r="AK27" s="622" t="s">
        <v>359</v>
      </c>
      <c r="AL27" s="624">
        <v>2015</v>
      </c>
      <c r="AM27" s="625"/>
      <c r="AN27" s="626"/>
      <c r="AO27" s="627">
        <f t="shared" si="7"/>
        <v>9</v>
      </c>
      <c r="AP27" s="628" t="str">
        <f t="shared" si="8"/>
        <v>/</v>
      </c>
      <c r="AQ27" s="629">
        <f t="shared" si="9"/>
        <v>9</v>
      </c>
      <c r="AR27" s="630">
        <f t="shared" si="10"/>
        <v>4.9800000000000004</v>
      </c>
      <c r="AS27" s="631"/>
      <c r="AT27" s="632" t="s">
        <v>341</v>
      </c>
      <c r="AU27" s="633" t="s">
        <v>359</v>
      </c>
      <c r="AV27" s="634" t="s">
        <v>370</v>
      </c>
      <c r="AW27" s="633" t="s">
        <v>359</v>
      </c>
      <c r="AX27" s="635">
        <v>2018</v>
      </c>
      <c r="AY27" s="636"/>
      <c r="AZ27" s="637"/>
      <c r="BA27" s="638"/>
      <c r="BB27" s="639">
        <f t="shared" si="11"/>
        <v>3</v>
      </c>
      <c r="BC27" s="640">
        <f t="shared" si="12"/>
        <v>-24226</v>
      </c>
      <c r="BD27" s="640">
        <f>VLOOKUP(Y27,'- DLiêu Gốc -'!$C$1:$F$60,3,0)</f>
        <v>2.34</v>
      </c>
      <c r="BE27" s="641">
        <f>VLOOKUP(Y27,'- DLiêu Gốc -'!$C$1:$F$60,4,0)</f>
        <v>0.33</v>
      </c>
      <c r="BF27" s="642" t="e">
        <f t="shared" si="13"/>
        <v>#VALUE!</v>
      </c>
      <c r="BG27" s="758">
        <v>32</v>
      </c>
      <c r="BH27" s="643" t="s">
        <v>332</v>
      </c>
      <c r="BI27" s="644" t="s">
        <v>341</v>
      </c>
      <c r="BJ27" s="1426" t="s">
        <v>341</v>
      </c>
      <c r="BK27" s="2395" t="s">
        <v>359</v>
      </c>
      <c r="BL27" s="2394">
        <v>2020</v>
      </c>
      <c r="BM27" s="688"/>
      <c r="BN27" s="689"/>
      <c r="BO27" s="646"/>
      <c r="BP27" s="690">
        <f t="shared" si="14"/>
        <v>33</v>
      </c>
      <c r="BQ27" s="691" t="s">
        <v>332</v>
      </c>
      <c r="BR27" s="633" t="s">
        <v>341</v>
      </c>
      <c r="BS27" s="692" t="s">
        <v>341</v>
      </c>
      <c r="BT27" s="635" t="s">
        <v>359</v>
      </c>
      <c r="BU27" s="648">
        <v>2021</v>
      </c>
      <c r="BV27" s="648"/>
      <c r="BW27" s="649"/>
      <c r="BX27" s="650">
        <v>1</v>
      </c>
      <c r="BY27" s="641" t="e">
        <f t="shared" si="15"/>
        <v>#VALUE!</v>
      </c>
      <c r="BZ27" s="651" t="str">
        <f t="shared" si="16"/>
        <v>- - -</v>
      </c>
      <c r="CA27" s="652" t="str">
        <f t="shared" si="17"/>
        <v>Chánh Văn phòng Học viện, Trưởng Ban Tổ chức - Cán bộ, Trưởng Phân viện Học viện Hành chính Quốc gia khu vực Tây Nguyên</v>
      </c>
      <c r="CB27" s="653" t="str">
        <f t="shared" si="18"/>
        <v>A</v>
      </c>
      <c r="CC27" s="615" t="str">
        <f t="shared" si="19"/>
        <v>=&gt; s</v>
      </c>
      <c r="CD27" s="599">
        <f t="shared" si="20"/>
        <v>24250</v>
      </c>
      <c r="CE27" s="599" t="str">
        <f t="shared" si="21"/>
        <v>---</v>
      </c>
      <c r="CF27" s="654"/>
      <c r="CG27" s="599"/>
      <c r="CH27" s="655"/>
      <c r="CI27" s="599"/>
      <c r="CJ27" s="656" t="str">
        <f t="shared" si="22"/>
        <v>- - -</v>
      </c>
      <c r="CK27" s="657" t="str">
        <f t="shared" si="23"/>
        <v>- - -</v>
      </c>
      <c r="CL27" s="658"/>
      <c r="CM27" s="657"/>
      <c r="CN27" s="659"/>
      <c r="CO27" s="656"/>
      <c r="CP27" s="657" t="str">
        <f t="shared" si="24"/>
        <v>- - -</v>
      </c>
      <c r="CQ27" s="658"/>
      <c r="CR27" s="657"/>
      <c r="CS27" s="659"/>
      <c r="CT27" s="660"/>
      <c r="CU27" s="661" t="str">
        <f t="shared" si="25"/>
        <v>---</v>
      </c>
      <c r="CV27" s="662" t="str">
        <f t="shared" si="26"/>
        <v>/-/ /-/</v>
      </c>
      <c r="CW27" s="663">
        <f t="shared" si="27"/>
        <v>7</v>
      </c>
      <c r="CX27" s="662">
        <f t="shared" si="28"/>
        <v>2023</v>
      </c>
      <c r="CY27" s="663">
        <f t="shared" si="29"/>
        <v>4</v>
      </c>
      <c r="CZ27" s="662">
        <f t="shared" si="30"/>
        <v>2023</v>
      </c>
      <c r="DA27" s="663">
        <f t="shared" si="31"/>
        <v>1</v>
      </c>
      <c r="DB27" s="664">
        <f t="shared" si="32"/>
        <v>2023</v>
      </c>
      <c r="DC27" s="665" t="str">
        <f t="shared" si="33"/>
        <v>- - -</v>
      </c>
      <c r="DD27" s="665" t="str">
        <f t="shared" si="34"/>
        <v>. .</v>
      </c>
      <c r="DE27" s="615"/>
      <c r="DF27" s="615">
        <f t="shared" si="35"/>
        <v>720</v>
      </c>
      <c r="DG27" s="615">
        <f t="shared" si="36"/>
        <v>-23550</v>
      </c>
      <c r="DH27" s="615">
        <f t="shared" si="37"/>
        <v>-1963</v>
      </c>
      <c r="DI27" s="615" t="str">
        <f t="shared" si="38"/>
        <v>Nam dưới 35</v>
      </c>
      <c r="DJ27" s="615"/>
      <c r="DK27" s="641"/>
      <c r="DL27" s="657" t="str">
        <f t="shared" si="39"/>
        <v>Đến 30</v>
      </c>
      <c r="DM27" s="666" t="str">
        <f>IF(DN27&gt;0,"TD","--")</f>
        <v>--</v>
      </c>
      <c r="DN27" s="599"/>
      <c r="DO27" s="667"/>
      <c r="DP27" s="666"/>
      <c r="DQ27" s="659"/>
      <c r="DR27" s="668"/>
      <c r="DS27" s="669"/>
      <c r="DT27" s="670"/>
      <c r="DU27" s="671"/>
      <c r="DV27" s="672"/>
      <c r="DW27" s="632" t="s">
        <v>70</v>
      </c>
      <c r="DX27" s="634" t="s">
        <v>138</v>
      </c>
      <c r="DY27" s="634" t="s">
        <v>201</v>
      </c>
      <c r="DZ27" s="634" t="s">
        <v>341</v>
      </c>
      <c r="EA27" s="673" t="s">
        <v>359</v>
      </c>
      <c r="EB27" s="634" t="s">
        <v>370</v>
      </c>
      <c r="EC27" s="674" t="s">
        <v>359</v>
      </c>
      <c r="ED27" s="632">
        <v>2012</v>
      </c>
      <c r="EE27" s="634">
        <f t="shared" si="41"/>
        <v>0</v>
      </c>
      <c r="EF27" s="634" t="str">
        <f t="shared" si="42"/>
        <v>- - -</v>
      </c>
      <c r="EG27" s="634" t="s">
        <v>341</v>
      </c>
      <c r="EH27" s="673" t="s">
        <v>359</v>
      </c>
      <c r="EI27" s="599" t="s">
        <v>370</v>
      </c>
      <c r="EJ27" s="656" t="s">
        <v>359</v>
      </c>
      <c r="EK27" s="675">
        <v>2012</v>
      </c>
      <c r="EL27" s="671"/>
      <c r="EM27" s="676" t="str">
        <f t="shared" si="43"/>
        <v>- - -</v>
      </c>
      <c r="EN27" s="676" t="str">
        <f t="shared" si="44"/>
        <v>---</v>
      </c>
      <c r="EO27" s="676"/>
      <c r="EP27" s="676"/>
      <c r="EQ27" s="676"/>
      <c r="ER27" s="676"/>
      <c r="ES27" s="676"/>
      <c r="ET27" s="676"/>
      <c r="EU27" s="676"/>
      <c r="EV27" s="676"/>
      <c r="EW27" s="676"/>
      <c r="EX27" s="676"/>
      <c r="EY27" s="676"/>
      <c r="EZ27" s="676"/>
      <c r="FA27" s="676"/>
      <c r="FB27" s="676"/>
      <c r="FC27" s="676"/>
      <c r="FD27" s="676"/>
      <c r="FE27" s="676"/>
      <c r="FF27" s="676"/>
      <c r="FG27" s="676"/>
      <c r="FH27" s="676"/>
      <c r="FI27" s="676"/>
      <c r="FJ27" s="676"/>
      <c r="FK27" s="677"/>
      <c r="FL27" s="677"/>
      <c r="FM27" s="677"/>
      <c r="FN27" s="677"/>
      <c r="FO27" s="677"/>
    </row>
    <row r="28" spans="1:171" s="801" customFormat="1" ht="18" customHeight="1" x14ac:dyDescent="0.2">
      <c r="A28" s="789"/>
      <c r="B28" s="679"/>
      <c r="C28" s="790"/>
      <c r="D28" s="791"/>
      <c r="E28" s="792"/>
      <c r="F28" s="793"/>
      <c r="G28" s="794"/>
      <c r="H28" s="791"/>
      <c r="I28" s="795"/>
      <c r="J28" s="795"/>
      <c r="K28" s="795"/>
      <c r="L28" s="795"/>
      <c r="M28" s="795"/>
      <c r="N28" s="795"/>
      <c r="O28" s="795"/>
      <c r="P28" s="795"/>
      <c r="Q28" s="796"/>
      <c r="R28" s="796"/>
      <c r="S28" s="797"/>
      <c r="T28" s="797"/>
      <c r="U28" s="797"/>
      <c r="V28" s="798"/>
      <c r="W28" s="799"/>
      <c r="X28" s="2403" t="s">
        <v>140</v>
      </c>
      <c r="Y28" s="2403"/>
      <c r="Z28" s="2403"/>
      <c r="AA28" s="2403"/>
      <c r="AB28" s="2403"/>
      <c r="AC28" s="2403"/>
      <c r="AD28" s="2403"/>
      <c r="AE28" s="2403"/>
      <c r="AF28" s="2403"/>
      <c r="AG28" s="2403"/>
      <c r="AH28" s="2403"/>
      <c r="AI28" s="2403"/>
      <c r="AJ28" s="2403"/>
      <c r="AK28" s="2403"/>
      <c r="AL28" s="2403"/>
      <c r="AM28" s="2403"/>
      <c r="AN28" s="2403"/>
      <c r="AO28" s="2403"/>
      <c r="AP28" s="2403"/>
      <c r="AQ28" s="2403"/>
      <c r="AR28" s="2403"/>
      <c r="AS28" s="2403"/>
      <c r="AT28" s="2403"/>
      <c r="AU28" s="2403"/>
      <c r="AV28" s="2403"/>
      <c r="AW28" s="2403"/>
      <c r="AX28" s="2403"/>
      <c r="AY28" s="2403"/>
      <c r="AZ28" s="2403"/>
      <c r="BA28" s="2403"/>
      <c r="BB28" s="2403"/>
      <c r="BC28" s="2403"/>
      <c r="BD28" s="2403"/>
      <c r="BE28" s="2403"/>
      <c r="BF28" s="2403"/>
      <c r="BG28" s="2403"/>
      <c r="BH28" s="2403"/>
      <c r="BI28" s="2403"/>
      <c r="BJ28" s="2403"/>
      <c r="BK28" s="2403"/>
      <c r="BL28" s="2403"/>
      <c r="BM28" s="2403"/>
      <c r="BN28" s="2403"/>
      <c r="BO28" s="2403"/>
      <c r="BP28" s="2403"/>
      <c r="BQ28" s="2403"/>
      <c r="BR28" s="2403"/>
      <c r="BS28" s="2403"/>
      <c r="BT28" s="2403"/>
      <c r="BU28" s="2403"/>
      <c r="BV28" s="800"/>
      <c r="BW28" s="800"/>
      <c r="BX28" s="800"/>
      <c r="BY28" s="800"/>
      <c r="BZ28" s="800"/>
      <c r="CA28" s="800"/>
      <c r="CB28" s="800"/>
      <c r="CC28" s="800"/>
      <c r="CE28" s="802"/>
      <c r="CF28" s="802"/>
      <c r="CH28" s="803"/>
      <c r="CI28" s="804"/>
    </row>
    <row r="29" spans="1:171" ht="27.75" customHeight="1" x14ac:dyDescent="0.2">
      <c r="X29" s="2469" t="s">
        <v>491</v>
      </c>
      <c r="Y29" s="2469"/>
      <c r="Z29" s="2469"/>
      <c r="AA29" s="2469"/>
      <c r="AB29" s="2469"/>
      <c r="AC29" s="2469"/>
      <c r="AD29" s="2469"/>
      <c r="AE29" s="2469"/>
      <c r="AF29" s="2469"/>
      <c r="AG29" s="2469"/>
      <c r="AH29" s="2469"/>
      <c r="AI29" s="2469"/>
      <c r="AJ29" s="2469"/>
      <c r="AK29" s="2469"/>
      <c r="AL29" s="2469"/>
      <c r="AM29" s="2469"/>
      <c r="AN29" s="2469"/>
      <c r="AO29" s="2469"/>
      <c r="AP29" s="2469"/>
      <c r="AQ29" s="2469"/>
      <c r="AR29" s="2469"/>
      <c r="AS29" s="2469"/>
      <c r="AT29" s="2469"/>
      <c r="AU29" s="2469"/>
      <c r="AV29" s="2469"/>
      <c r="AW29" s="2469"/>
      <c r="AX29" s="2469"/>
      <c r="AY29" s="2469"/>
      <c r="AZ29" s="2469"/>
      <c r="BA29" s="2469"/>
      <c r="BB29" s="2469"/>
      <c r="BC29" s="2469"/>
      <c r="BD29" s="2469"/>
      <c r="BE29" s="2469"/>
      <c r="BF29" s="2469"/>
      <c r="BG29" s="2469"/>
      <c r="BH29" s="2469"/>
      <c r="BI29" s="2469"/>
      <c r="BJ29" s="2469"/>
      <c r="BK29" s="2469"/>
      <c r="BL29" s="2469"/>
      <c r="BM29" s="2469"/>
      <c r="BN29" s="2469"/>
      <c r="BO29" s="2469"/>
      <c r="BP29" s="2469"/>
      <c r="BQ29" s="2469"/>
      <c r="BR29" s="2469"/>
      <c r="BS29" s="2469"/>
      <c r="BT29" s="2469"/>
      <c r="BU29" s="2469"/>
    </row>
    <row r="30" spans="1:171" s="680" customFormat="1" ht="27" customHeight="1" x14ac:dyDescent="0.2">
      <c r="A30" s="805">
        <v>721</v>
      </c>
      <c r="B30" s="679"/>
      <c r="C30" s="790"/>
      <c r="D30" s="791"/>
      <c r="E30" s="792"/>
      <c r="F30" s="793"/>
      <c r="G30" s="794"/>
      <c r="H30" s="791"/>
      <c r="I30" s="806"/>
      <c r="J30" s="806"/>
      <c r="K30" s="806"/>
      <c r="L30" s="806"/>
      <c r="M30" s="806"/>
      <c r="N30" s="806"/>
      <c r="O30" s="806"/>
      <c r="P30" s="806"/>
      <c r="Q30" s="807"/>
      <c r="R30" s="807"/>
      <c r="S30" s="808"/>
      <c r="T30" s="808"/>
      <c r="U30" s="808"/>
      <c r="V30" s="809"/>
      <c r="W30" s="810"/>
      <c r="X30" s="810"/>
      <c r="Y30" s="704"/>
      <c r="Z30" s="704"/>
      <c r="AA30" s="2475" t="s">
        <v>305</v>
      </c>
      <c r="AB30" s="2475"/>
      <c r="AC30" s="2475"/>
      <c r="AD30" s="2475"/>
      <c r="AE30" s="2475"/>
      <c r="AF30" s="2475"/>
      <c r="AG30" s="2475"/>
      <c r="AH30" s="2475"/>
      <c r="AI30" s="2475"/>
      <c r="AJ30" s="2475"/>
      <c r="AK30" s="2475"/>
      <c r="AL30" s="2475"/>
      <c r="AM30" s="2475"/>
      <c r="AN30" s="2475"/>
      <c r="AO30" s="2475"/>
      <c r="AP30" s="2475"/>
      <c r="AQ30" s="2475"/>
      <c r="AR30" s="2475"/>
      <c r="AS30" s="2475"/>
      <c r="AT30" s="2475"/>
      <c r="AU30" s="2475"/>
      <c r="AV30" s="2475"/>
      <c r="AW30" s="2475"/>
      <c r="AX30" s="2475"/>
      <c r="AY30" s="2475"/>
      <c r="AZ30" s="2475"/>
      <c r="BA30" s="2475"/>
      <c r="BB30" s="2475"/>
      <c r="BC30" s="2475"/>
      <c r="BD30" s="2475"/>
      <c r="BE30" s="2475"/>
      <c r="BF30" s="2475"/>
      <c r="BG30" s="2475"/>
      <c r="BH30" s="2475"/>
      <c r="BI30" s="2475"/>
      <c r="BJ30" s="2476" t="s">
        <v>305</v>
      </c>
      <c r="BK30" s="2476"/>
      <c r="BL30" s="2476"/>
      <c r="BM30" s="2476"/>
      <c r="BN30" s="2476"/>
      <c r="BO30" s="2475"/>
      <c r="BP30" s="2475"/>
      <c r="BQ30" s="2475"/>
      <c r="BR30" s="2475"/>
      <c r="BS30" s="2475"/>
      <c r="BT30" s="2475"/>
      <c r="BU30" s="2475"/>
      <c r="BV30" s="2475"/>
      <c r="BW30" s="2475"/>
      <c r="BX30" s="2475"/>
      <c r="BY30" s="2475"/>
      <c r="BZ30" s="2475"/>
      <c r="CA30" s="2475"/>
      <c r="CB30" s="2475"/>
      <c r="CC30" s="2475"/>
      <c r="CD30" s="710"/>
      <c r="CE30" s="690"/>
      <c r="CF30" s="601"/>
      <c r="CG30" s="805"/>
      <c r="CH30" s="723"/>
      <c r="CI30" s="693"/>
      <c r="CJ30" s="811"/>
      <c r="CK30" s="812"/>
      <c r="CL30" s="659"/>
      <c r="CM30" s="813"/>
      <c r="CN30" s="814"/>
      <c r="CO30" s="814"/>
      <c r="CP30" s="659"/>
      <c r="CQ30" s="669"/>
      <c r="CR30" s="599"/>
      <c r="CS30" s="599"/>
      <c r="DJ30" s="815"/>
      <c r="DK30" s="816"/>
      <c r="DL30" s="630"/>
      <c r="DM30" s="817"/>
      <c r="DN30" s="818"/>
      <c r="DO30" s="638"/>
      <c r="DP30" s="819"/>
      <c r="DQ30" s="820"/>
      <c r="DR30" s="821"/>
      <c r="DS30" s="822"/>
      <c r="DT30" s="822"/>
      <c r="DU30" s="819"/>
      <c r="DV30" s="660"/>
      <c r="DW30" s="661"/>
      <c r="DX30" s="823"/>
      <c r="DY30" s="823"/>
    </row>
    <row r="31" spans="1:171" s="680" customFormat="1" ht="18" customHeight="1" x14ac:dyDescent="0.2">
      <c r="A31" s="805">
        <v>746</v>
      </c>
      <c r="C31" s="790"/>
      <c r="D31" s="791"/>
      <c r="E31" s="792"/>
      <c r="F31" s="793"/>
      <c r="G31" s="794"/>
      <c r="H31" s="791"/>
      <c r="I31" s="806"/>
      <c r="J31" s="806"/>
      <c r="K31" s="806"/>
      <c r="L31" s="806"/>
      <c r="M31" s="806"/>
      <c r="N31" s="806"/>
      <c r="O31" s="806"/>
      <c r="P31" s="806"/>
      <c r="Q31" s="807"/>
      <c r="R31" s="807"/>
      <c r="S31" s="808"/>
      <c r="T31" s="808"/>
      <c r="U31" s="808"/>
      <c r="V31" s="809"/>
      <c r="W31" s="810"/>
      <c r="X31" s="2468" t="s">
        <v>141</v>
      </c>
      <c r="Y31" s="2468"/>
      <c r="Z31" s="2468"/>
      <c r="AA31" s="2468"/>
      <c r="AB31" s="2468"/>
      <c r="AC31" s="2468"/>
      <c r="AD31" s="2468"/>
      <c r="AE31" s="2468"/>
      <c r="AF31" s="2468"/>
      <c r="AG31" s="2468"/>
      <c r="AH31" s="2468"/>
      <c r="AI31" s="2468"/>
      <c r="AJ31" s="2468"/>
      <c r="AK31" s="2468"/>
      <c r="AL31" s="2468"/>
      <c r="AM31" s="2468"/>
      <c r="AN31" s="2468"/>
      <c r="AO31" s="2468"/>
      <c r="AP31" s="2468"/>
      <c r="AQ31" s="2468"/>
      <c r="AR31" s="2468"/>
      <c r="AS31" s="2468"/>
      <c r="AT31" s="2468"/>
      <c r="AU31" s="2468"/>
      <c r="AV31" s="2468"/>
      <c r="AW31" s="2468"/>
      <c r="AX31" s="2468"/>
      <c r="AY31" s="2468"/>
      <c r="AZ31" s="2468"/>
      <c r="BA31" s="2468"/>
      <c r="BB31" s="2468"/>
      <c r="BC31" s="2468"/>
      <c r="BD31" s="2468"/>
      <c r="BE31" s="2468"/>
      <c r="BF31" s="2468"/>
      <c r="BG31" s="2468"/>
      <c r="BH31" s="2468"/>
      <c r="BI31" s="2468"/>
      <c r="BJ31" s="2468"/>
      <c r="BK31" s="2468"/>
      <c r="BL31" s="2468"/>
      <c r="BM31" s="2468"/>
      <c r="BN31" s="2468"/>
      <c r="BO31" s="2468"/>
      <c r="BP31" s="2468"/>
      <c r="BQ31" s="2468"/>
      <c r="BR31" s="2468"/>
      <c r="BS31" s="2468"/>
      <c r="BT31" s="2468"/>
      <c r="BU31" s="2468"/>
      <c r="BV31" s="824"/>
      <c r="BW31" s="824"/>
      <c r="BX31" s="824"/>
      <c r="BY31" s="824"/>
      <c r="BZ31" s="824"/>
      <c r="CA31" s="824"/>
      <c r="CB31" s="824"/>
      <c r="CC31" s="824"/>
      <c r="CD31" s="710"/>
      <c r="CE31" s="825"/>
      <c r="CF31" s="826"/>
      <c r="CG31" s="827"/>
      <c r="CH31" s="723"/>
      <c r="CI31" s="693"/>
      <c r="CJ31" s="811"/>
      <c r="CK31" s="812"/>
      <c r="CL31" s="659"/>
      <c r="CM31" s="813"/>
      <c r="CN31" s="814"/>
      <c r="CO31" s="814"/>
      <c r="CP31" s="659"/>
      <c r="CQ31" s="669"/>
      <c r="CR31" s="599"/>
      <c r="CS31" s="599"/>
      <c r="DJ31" s="815"/>
      <c r="DK31" s="816"/>
      <c r="DL31" s="630"/>
      <c r="DM31" s="817"/>
      <c r="DN31" s="818"/>
      <c r="DO31" s="638"/>
      <c r="DP31" s="819"/>
      <c r="DQ31" s="820"/>
      <c r="DR31" s="821"/>
      <c r="DS31" s="822"/>
      <c r="DT31" s="822"/>
      <c r="DU31" s="819"/>
      <c r="DV31" s="660"/>
      <c r="DW31" s="661"/>
      <c r="DX31" s="823"/>
      <c r="DY31" s="823"/>
    </row>
    <row r="32" spans="1:171" s="680" customFormat="1" ht="18" customHeight="1" x14ac:dyDescent="0.2">
      <c r="A32" s="805">
        <v>749</v>
      </c>
      <c r="B32" s="781"/>
      <c r="C32" s="790"/>
      <c r="D32" s="2473"/>
      <c r="E32" s="2473"/>
      <c r="F32" s="2473"/>
      <c r="G32" s="2473"/>
      <c r="H32" s="2473"/>
      <c r="I32" s="2473"/>
      <c r="J32" s="2473"/>
      <c r="K32" s="2473"/>
      <c r="L32" s="2473"/>
      <c r="M32" s="2473"/>
      <c r="N32" s="2473"/>
      <c r="O32" s="2473"/>
      <c r="P32" s="2473"/>
      <c r="Q32" s="2473"/>
      <c r="R32" s="2473"/>
      <c r="S32" s="808"/>
      <c r="T32" s="808"/>
      <c r="U32" s="808"/>
      <c r="V32" s="809"/>
      <c r="W32" s="810"/>
      <c r="X32" s="2468"/>
      <c r="Y32" s="2468"/>
      <c r="Z32" s="2468"/>
      <c r="AA32" s="2468"/>
      <c r="AB32" s="2468"/>
      <c r="AC32" s="2468"/>
      <c r="AD32" s="2468"/>
      <c r="AE32" s="2468"/>
      <c r="AF32" s="2468"/>
      <c r="AG32" s="2468"/>
      <c r="AH32" s="2468"/>
      <c r="AI32" s="2468"/>
      <c r="AJ32" s="2468"/>
      <c r="AK32" s="2468"/>
      <c r="AL32" s="2468"/>
      <c r="AM32" s="2468"/>
      <c r="AN32" s="2468"/>
      <c r="AO32" s="2468"/>
      <c r="AP32" s="2468"/>
      <c r="AQ32" s="2468"/>
      <c r="AR32" s="2468"/>
      <c r="AS32" s="2468"/>
      <c r="AT32" s="2468"/>
      <c r="AU32" s="2468"/>
      <c r="AV32" s="2468"/>
      <c r="AW32" s="2468"/>
      <c r="AX32" s="2468"/>
      <c r="AY32" s="2468"/>
      <c r="AZ32" s="2468"/>
      <c r="BA32" s="2468"/>
      <c r="BB32" s="2468"/>
      <c r="BC32" s="2468"/>
      <c r="BD32" s="2468"/>
      <c r="BE32" s="2468"/>
      <c r="BF32" s="2468"/>
      <c r="BG32" s="2468"/>
      <c r="BH32" s="2468"/>
      <c r="BI32" s="2468"/>
      <c r="BJ32" s="2468"/>
      <c r="BK32" s="2468"/>
      <c r="BL32" s="2468"/>
      <c r="BM32" s="2468"/>
      <c r="BN32" s="2468"/>
      <c r="BO32" s="2468"/>
      <c r="BP32" s="2468"/>
      <c r="BQ32" s="2468"/>
      <c r="BR32" s="2468"/>
      <c r="BS32" s="2468"/>
      <c r="BT32" s="2468"/>
      <c r="BU32" s="2468"/>
      <c r="BV32" s="828"/>
      <c r="BW32" s="828"/>
      <c r="BX32" s="828"/>
      <c r="BY32" s="828"/>
      <c r="BZ32" s="828"/>
      <c r="CA32" s="828"/>
      <c r="CB32" s="828"/>
      <c r="CC32" s="828"/>
      <c r="CD32" s="829"/>
      <c r="CE32" s="717"/>
      <c r="CF32" s="695"/>
      <c r="CG32" s="693"/>
      <c r="CH32" s="723"/>
      <c r="CI32" s="693"/>
      <c r="CJ32" s="811"/>
      <c r="CK32" s="812"/>
      <c r="CL32" s="659"/>
      <c r="CM32" s="813"/>
      <c r="CN32" s="814"/>
      <c r="CO32" s="814"/>
      <c r="CP32" s="659"/>
      <c r="CQ32" s="669"/>
      <c r="CR32" s="599"/>
      <c r="CS32" s="599"/>
      <c r="DJ32" s="815"/>
      <c r="DK32" s="816"/>
      <c r="DL32" s="630"/>
      <c r="DM32" s="817"/>
      <c r="DN32" s="818"/>
      <c r="DO32" s="638"/>
      <c r="DP32" s="819"/>
      <c r="DQ32" s="820"/>
      <c r="DR32" s="821"/>
      <c r="DS32" s="822"/>
      <c r="DT32" s="822"/>
      <c r="DU32" s="819"/>
      <c r="DV32" s="660"/>
      <c r="DW32" s="661"/>
      <c r="DX32" s="823"/>
      <c r="DY32" s="823"/>
    </row>
    <row r="33" spans="1:174" s="680" customFormat="1" ht="41.25" customHeight="1" x14ac:dyDescent="0.2">
      <c r="A33" s="830"/>
      <c r="B33" s="781"/>
      <c r="C33" s="790"/>
      <c r="D33" s="831"/>
      <c r="E33" s="831"/>
      <c r="F33" s="831"/>
      <c r="G33" s="831"/>
      <c r="H33" s="831"/>
      <c r="I33" s="831"/>
      <c r="J33" s="831"/>
      <c r="K33" s="831"/>
      <c r="L33" s="831"/>
      <c r="M33" s="831"/>
      <c r="N33" s="831"/>
      <c r="O33" s="831"/>
      <c r="P33" s="831"/>
      <c r="Q33" s="831"/>
      <c r="R33" s="831"/>
      <c r="S33" s="808"/>
      <c r="T33" s="808"/>
      <c r="U33" s="808"/>
      <c r="V33" s="809"/>
      <c r="W33" s="810"/>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c r="BI33" s="788"/>
      <c r="BJ33" s="1427"/>
      <c r="BK33" s="788"/>
      <c r="BL33" s="788"/>
      <c r="BM33" s="788"/>
      <c r="BN33" s="788"/>
      <c r="BO33" s="788"/>
      <c r="BP33" s="788"/>
      <c r="BQ33" s="788"/>
      <c r="BR33" s="788"/>
      <c r="BS33" s="788"/>
      <c r="BT33" s="788"/>
      <c r="BU33" s="788"/>
      <c r="BV33" s="828"/>
      <c r="BW33" s="828"/>
      <c r="BX33" s="828"/>
      <c r="BY33" s="828"/>
      <c r="BZ33" s="828"/>
      <c r="CA33" s="828"/>
      <c r="CB33" s="828"/>
      <c r="CC33" s="828"/>
      <c r="CD33" s="829"/>
      <c r="CE33" s="717"/>
      <c r="CF33" s="695"/>
      <c r="CG33" s="693"/>
      <c r="CH33" s="723"/>
      <c r="CI33" s="693"/>
      <c r="CJ33" s="811"/>
      <c r="CK33" s="812"/>
      <c r="CL33" s="832"/>
      <c r="CM33" s="813"/>
      <c r="CN33" s="814"/>
      <c r="CO33" s="814"/>
      <c r="CP33" s="833"/>
      <c r="CQ33" s="834"/>
      <c r="CR33" s="805"/>
      <c r="CS33" s="835"/>
      <c r="DJ33" s="815"/>
      <c r="DK33" s="816"/>
      <c r="DL33" s="631"/>
      <c r="DM33" s="836"/>
      <c r="DN33" s="818"/>
      <c r="DO33" s="837"/>
      <c r="DP33" s="838"/>
      <c r="DQ33" s="839"/>
      <c r="DR33" s="840"/>
      <c r="DS33" s="822"/>
      <c r="DT33" s="822"/>
      <c r="DU33" s="838"/>
      <c r="DV33" s="841"/>
      <c r="DW33" s="842"/>
      <c r="DX33" s="843"/>
      <c r="DY33" s="843"/>
    </row>
    <row r="34" spans="1:174" s="680" customFormat="1" ht="41.25" customHeight="1" x14ac:dyDescent="0.2">
      <c r="A34" s="830"/>
      <c r="B34" s="781"/>
      <c r="C34" s="790"/>
      <c r="D34" s="831"/>
      <c r="E34" s="831"/>
      <c r="F34" s="831"/>
      <c r="G34" s="831"/>
      <c r="H34" s="831"/>
      <c r="I34" s="831"/>
      <c r="J34" s="831"/>
      <c r="K34" s="831"/>
      <c r="L34" s="831"/>
      <c r="M34" s="831"/>
      <c r="N34" s="831"/>
      <c r="O34" s="831"/>
      <c r="P34" s="831"/>
      <c r="Q34" s="831"/>
      <c r="R34" s="831"/>
      <c r="S34" s="808"/>
      <c r="T34" s="808"/>
      <c r="U34" s="808"/>
      <c r="V34" s="809"/>
      <c r="W34" s="810"/>
      <c r="X34" s="788"/>
      <c r="Y34" s="788"/>
      <c r="Z34" s="788"/>
      <c r="AA34" s="788"/>
      <c r="AB34" s="788"/>
      <c r="AC34" s="788"/>
      <c r="AD34" s="788"/>
      <c r="AE34" s="788"/>
      <c r="AF34" s="788"/>
      <c r="AG34" s="788"/>
      <c r="AH34" s="788"/>
      <c r="AI34" s="788"/>
      <c r="AJ34" s="788"/>
      <c r="AK34" s="788"/>
      <c r="AL34" s="788"/>
      <c r="AM34" s="788"/>
      <c r="AN34" s="788"/>
      <c r="AO34" s="788"/>
      <c r="AP34" s="788"/>
      <c r="AQ34" s="788"/>
      <c r="AR34" s="788"/>
      <c r="AS34" s="788"/>
      <c r="AT34" s="788"/>
      <c r="AU34" s="788"/>
      <c r="AV34" s="788"/>
      <c r="AW34" s="788"/>
      <c r="AX34" s="788"/>
      <c r="AY34" s="788"/>
      <c r="AZ34" s="788"/>
      <c r="BA34" s="788"/>
      <c r="BB34" s="788"/>
      <c r="BC34" s="788"/>
      <c r="BD34" s="788"/>
      <c r="BE34" s="788"/>
      <c r="BF34" s="788"/>
      <c r="BG34" s="788"/>
      <c r="BH34" s="788"/>
      <c r="BI34" s="788"/>
      <c r="BJ34" s="1427"/>
      <c r="BK34" s="788"/>
      <c r="BL34" s="788"/>
      <c r="BM34" s="788"/>
      <c r="BN34" s="788"/>
      <c r="BO34" s="788"/>
      <c r="BP34" s="788"/>
      <c r="BQ34" s="788"/>
      <c r="BR34" s="788"/>
      <c r="BS34" s="788"/>
      <c r="BT34" s="788"/>
      <c r="BU34" s="788"/>
      <c r="BV34" s="828"/>
      <c r="BW34" s="828"/>
      <c r="BX34" s="828"/>
      <c r="BY34" s="828"/>
      <c r="BZ34" s="828"/>
      <c r="CA34" s="828"/>
      <c r="CB34" s="828"/>
      <c r="CC34" s="828"/>
      <c r="CD34" s="829"/>
      <c r="CE34" s="717"/>
      <c r="CF34" s="695"/>
      <c r="CG34" s="693"/>
      <c r="CH34" s="723"/>
      <c r="CI34" s="693"/>
      <c r="CJ34" s="811"/>
      <c r="CK34" s="812"/>
      <c r="CL34" s="832"/>
      <c r="CM34" s="813"/>
      <c r="CN34" s="814"/>
      <c r="CO34" s="814"/>
      <c r="CP34" s="833"/>
      <c r="CQ34" s="834"/>
      <c r="CR34" s="805"/>
      <c r="CS34" s="835"/>
      <c r="DJ34" s="815"/>
      <c r="DK34" s="816"/>
      <c r="DL34" s="631"/>
      <c r="DM34" s="836"/>
      <c r="DN34" s="818"/>
      <c r="DO34" s="837"/>
      <c r="DP34" s="838"/>
      <c r="DQ34" s="839"/>
      <c r="DR34" s="840"/>
      <c r="DS34" s="822"/>
      <c r="DT34" s="822"/>
      <c r="DU34" s="838"/>
      <c r="DV34" s="841"/>
      <c r="DW34" s="842"/>
      <c r="DX34" s="843"/>
      <c r="DY34" s="843"/>
    </row>
    <row r="35" spans="1:174" s="680" customFormat="1" ht="41.25" customHeight="1" x14ac:dyDescent="0.2">
      <c r="A35" s="830"/>
      <c r="B35" s="781"/>
      <c r="C35" s="790"/>
      <c r="D35" s="831"/>
      <c r="E35" s="831"/>
      <c r="F35" s="831"/>
      <c r="G35" s="831"/>
      <c r="H35" s="831"/>
      <c r="I35" s="831"/>
      <c r="J35" s="831"/>
      <c r="K35" s="831"/>
      <c r="L35" s="831"/>
      <c r="M35" s="831"/>
      <c r="N35" s="831"/>
      <c r="O35" s="831"/>
      <c r="P35" s="831"/>
      <c r="Q35" s="831"/>
      <c r="R35" s="831"/>
      <c r="S35" s="808"/>
      <c r="T35" s="808"/>
      <c r="U35" s="808"/>
      <c r="V35" s="809"/>
      <c r="W35" s="810"/>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8"/>
      <c r="AY35" s="788"/>
      <c r="AZ35" s="788"/>
      <c r="BA35" s="788"/>
      <c r="BB35" s="788"/>
      <c r="BC35" s="788"/>
      <c r="BD35" s="788"/>
      <c r="BE35" s="788"/>
      <c r="BF35" s="788"/>
      <c r="BG35" s="788"/>
      <c r="BH35" s="788"/>
      <c r="BI35" s="788"/>
      <c r="BJ35" s="1427"/>
      <c r="BK35" s="788"/>
      <c r="BL35" s="788"/>
      <c r="BM35" s="788"/>
      <c r="BN35" s="788"/>
      <c r="BO35" s="788"/>
      <c r="BP35" s="788"/>
      <c r="BQ35" s="788"/>
      <c r="BR35" s="788"/>
      <c r="BS35" s="788"/>
      <c r="BT35" s="788"/>
      <c r="BU35" s="788"/>
      <c r="BV35" s="828"/>
      <c r="BW35" s="828"/>
      <c r="BX35" s="828"/>
      <c r="BY35" s="828"/>
      <c r="BZ35" s="828"/>
      <c r="CA35" s="828"/>
      <c r="CB35" s="828"/>
      <c r="CC35" s="828"/>
      <c r="CD35" s="829"/>
      <c r="CE35" s="717"/>
      <c r="CF35" s="695"/>
      <c r="CG35" s="693"/>
      <c r="CH35" s="723"/>
      <c r="CI35" s="693"/>
      <c r="CJ35" s="811"/>
      <c r="CK35" s="812"/>
      <c r="CL35" s="832"/>
      <c r="CM35" s="813"/>
      <c r="CN35" s="814"/>
      <c r="CO35" s="814"/>
      <c r="CP35" s="833"/>
      <c r="CQ35" s="834"/>
      <c r="CR35" s="805"/>
      <c r="CS35" s="835"/>
      <c r="DJ35" s="815"/>
      <c r="DK35" s="816"/>
      <c r="DL35" s="631"/>
      <c r="DM35" s="836"/>
      <c r="DN35" s="818"/>
      <c r="DO35" s="837"/>
      <c r="DP35" s="838"/>
      <c r="DQ35" s="839"/>
      <c r="DR35" s="840"/>
      <c r="DS35" s="822"/>
      <c r="DT35" s="822"/>
      <c r="DU35" s="838"/>
      <c r="DV35" s="841"/>
      <c r="DW35" s="842"/>
      <c r="DX35" s="843"/>
      <c r="DY35" s="843"/>
    </row>
    <row r="36" spans="1:174" s="680" customFormat="1" ht="41.25" customHeight="1" x14ac:dyDescent="0.2">
      <c r="A36" s="830"/>
      <c r="B36" s="781"/>
      <c r="C36" s="790"/>
      <c r="D36" s="831"/>
      <c r="E36" s="831"/>
      <c r="F36" s="831"/>
      <c r="G36" s="831"/>
      <c r="H36" s="831"/>
      <c r="I36" s="831"/>
      <c r="J36" s="831"/>
      <c r="K36" s="831"/>
      <c r="L36" s="831"/>
      <c r="M36" s="831"/>
      <c r="N36" s="831"/>
      <c r="O36" s="831"/>
      <c r="P36" s="831"/>
      <c r="Q36" s="831"/>
      <c r="R36" s="831"/>
      <c r="S36" s="808"/>
      <c r="T36" s="808"/>
      <c r="U36" s="808"/>
      <c r="V36" s="809"/>
      <c r="W36" s="810"/>
      <c r="X36" s="788"/>
      <c r="Y36" s="788"/>
      <c r="Z36" s="788"/>
      <c r="AA36" s="788"/>
      <c r="AB36" s="788"/>
      <c r="AC36" s="788"/>
      <c r="AD36" s="788"/>
      <c r="AE36" s="788"/>
      <c r="AF36" s="788"/>
      <c r="AG36" s="788"/>
      <c r="AH36" s="788"/>
      <c r="AI36" s="788"/>
      <c r="AJ36" s="788"/>
      <c r="AK36" s="788"/>
      <c r="AL36" s="788"/>
      <c r="AM36" s="788"/>
      <c r="AN36" s="788"/>
      <c r="AO36" s="788"/>
      <c r="AP36" s="788"/>
      <c r="AQ36" s="788"/>
      <c r="AR36" s="788"/>
      <c r="AS36" s="788"/>
      <c r="AT36" s="788"/>
      <c r="AU36" s="788"/>
      <c r="AV36" s="788"/>
      <c r="AW36" s="788"/>
      <c r="AX36" s="788"/>
      <c r="AY36" s="788"/>
      <c r="AZ36" s="788"/>
      <c r="BA36" s="788"/>
      <c r="BB36" s="788"/>
      <c r="BC36" s="788"/>
      <c r="BD36" s="788"/>
      <c r="BE36" s="788"/>
      <c r="BF36" s="788"/>
      <c r="BG36" s="788"/>
      <c r="BH36" s="788"/>
      <c r="BI36" s="788"/>
      <c r="BJ36" s="1427"/>
      <c r="BK36" s="788"/>
      <c r="BL36" s="788"/>
      <c r="BM36" s="788"/>
      <c r="BN36" s="788"/>
      <c r="BO36" s="788"/>
      <c r="BP36" s="788"/>
      <c r="BQ36" s="788"/>
      <c r="BR36" s="788"/>
      <c r="BS36" s="788"/>
      <c r="BT36" s="788"/>
      <c r="BU36" s="788"/>
      <c r="BV36" s="828"/>
      <c r="BW36" s="828"/>
      <c r="BX36" s="828"/>
      <c r="BY36" s="828"/>
      <c r="BZ36" s="828"/>
      <c r="CA36" s="828"/>
      <c r="CB36" s="828"/>
      <c r="CC36" s="828"/>
      <c r="CD36" s="829"/>
      <c r="CE36" s="717"/>
      <c r="CF36" s="695"/>
      <c r="CG36" s="693"/>
      <c r="CH36" s="723"/>
      <c r="CI36" s="693"/>
      <c r="CJ36" s="811"/>
      <c r="CK36" s="812"/>
      <c r="CL36" s="832"/>
      <c r="CM36" s="813"/>
      <c r="CN36" s="814"/>
      <c r="CO36" s="814"/>
      <c r="CP36" s="833"/>
      <c r="CQ36" s="834"/>
      <c r="CR36" s="805"/>
      <c r="CS36" s="835"/>
      <c r="DJ36" s="815"/>
      <c r="DK36" s="816"/>
      <c r="DL36" s="631"/>
      <c r="DM36" s="836"/>
      <c r="DN36" s="818"/>
      <c r="DO36" s="837"/>
      <c r="DP36" s="838"/>
      <c r="DQ36" s="839"/>
      <c r="DR36" s="840"/>
      <c r="DS36" s="822"/>
      <c r="DT36" s="822"/>
      <c r="DU36" s="838"/>
      <c r="DV36" s="841"/>
      <c r="DW36" s="842"/>
      <c r="DX36" s="843"/>
      <c r="DY36" s="843"/>
    </row>
    <row r="37" spans="1:174" s="680" customFormat="1" ht="41.25" customHeight="1" x14ac:dyDescent="0.2">
      <c r="A37" s="830"/>
      <c r="B37" s="781"/>
      <c r="C37" s="790"/>
      <c r="D37" s="831"/>
      <c r="E37" s="831"/>
      <c r="F37" s="831"/>
      <c r="G37" s="831"/>
      <c r="H37" s="831"/>
      <c r="I37" s="831"/>
      <c r="J37" s="831"/>
      <c r="K37" s="831"/>
      <c r="L37" s="831"/>
      <c r="M37" s="831"/>
      <c r="N37" s="831"/>
      <c r="O37" s="831"/>
      <c r="P37" s="831"/>
      <c r="Q37" s="831"/>
      <c r="R37" s="831"/>
      <c r="S37" s="808"/>
      <c r="T37" s="808"/>
      <c r="U37" s="808"/>
      <c r="V37" s="809"/>
      <c r="W37" s="810"/>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c r="BI37" s="788"/>
      <c r="BJ37" s="1427"/>
      <c r="BK37" s="788"/>
      <c r="BL37" s="788"/>
      <c r="BM37" s="788"/>
      <c r="BN37" s="788"/>
      <c r="BO37" s="788"/>
      <c r="BP37" s="788"/>
      <c r="BQ37" s="788"/>
      <c r="BR37" s="788"/>
      <c r="BS37" s="788"/>
      <c r="BT37" s="788"/>
      <c r="BU37" s="788"/>
      <c r="BV37" s="828"/>
      <c r="BW37" s="828"/>
      <c r="BX37" s="828"/>
      <c r="BY37" s="828"/>
      <c r="BZ37" s="828"/>
      <c r="CA37" s="828"/>
      <c r="CB37" s="828"/>
      <c r="CC37" s="828"/>
      <c r="CD37" s="829"/>
      <c r="CE37" s="717"/>
      <c r="CF37" s="695"/>
      <c r="CG37" s="693"/>
      <c r="CH37" s="723"/>
      <c r="CI37" s="693"/>
      <c r="CJ37" s="811"/>
      <c r="CK37" s="812"/>
      <c r="CL37" s="832"/>
      <c r="CM37" s="813"/>
      <c r="CN37" s="814"/>
      <c r="CO37" s="814"/>
      <c r="CP37" s="833"/>
      <c r="CQ37" s="834"/>
      <c r="CR37" s="805"/>
      <c r="CS37" s="835"/>
      <c r="DJ37" s="815"/>
      <c r="DK37" s="816"/>
      <c r="DL37" s="631"/>
      <c r="DM37" s="836"/>
      <c r="DN37" s="818"/>
      <c r="DO37" s="837"/>
      <c r="DP37" s="838"/>
      <c r="DQ37" s="839"/>
      <c r="DR37" s="840"/>
      <c r="DS37" s="822"/>
      <c r="DT37" s="822"/>
      <c r="DU37" s="838"/>
      <c r="DV37" s="841"/>
      <c r="DW37" s="842"/>
      <c r="DX37" s="843"/>
      <c r="DY37" s="843"/>
    </row>
    <row r="38" spans="1:174" s="680" customFormat="1" ht="44.25" customHeight="1" x14ac:dyDescent="0.2">
      <c r="A38" s="844"/>
      <c r="B38" s="781"/>
      <c r="C38" s="790"/>
      <c r="D38" s="831"/>
      <c r="E38" s="831"/>
      <c r="F38" s="831"/>
      <c r="G38" s="831"/>
      <c r="H38" s="831"/>
      <c r="I38" s="831"/>
      <c r="J38" s="831"/>
      <c r="K38" s="831"/>
      <c r="L38" s="831"/>
      <c r="M38" s="831"/>
      <c r="N38" s="831"/>
      <c r="O38" s="831"/>
      <c r="P38" s="831"/>
      <c r="Q38" s="831"/>
      <c r="R38" s="831"/>
      <c r="S38" s="808"/>
      <c r="T38" s="808"/>
      <c r="U38" s="808"/>
      <c r="V38" s="809"/>
      <c r="W38" s="810"/>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c r="BI38" s="788"/>
      <c r="BJ38" s="1427"/>
      <c r="BK38" s="788"/>
      <c r="BL38" s="788"/>
      <c r="BM38" s="788"/>
      <c r="BN38" s="788"/>
      <c r="BO38" s="788"/>
      <c r="BP38" s="788"/>
      <c r="BQ38" s="788"/>
      <c r="BR38" s="788"/>
      <c r="BS38" s="788"/>
      <c r="BT38" s="788"/>
      <c r="BU38" s="788"/>
      <c r="BV38" s="828"/>
      <c r="BW38" s="828"/>
      <c r="BX38" s="828"/>
      <c r="BY38" s="828"/>
      <c r="BZ38" s="828"/>
      <c r="CA38" s="828"/>
      <c r="CB38" s="828"/>
      <c r="CC38" s="828"/>
      <c r="CD38" s="829"/>
      <c r="CE38" s="717"/>
      <c r="CF38" s="695"/>
      <c r="CG38" s="693"/>
      <c r="CH38" s="723"/>
      <c r="CI38" s="693"/>
      <c r="CJ38" s="811"/>
      <c r="CK38" s="845"/>
      <c r="CL38" s="846"/>
      <c r="CM38" s="847"/>
      <c r="CN38" s="848"/>
      <c r="CO38" s="848"/>
      <c r="CP38" s="849"/>
      <c r="CQ38" s="850"/>
      <c r="CR38" s="827"/>
      <c r="CS38" s="851"/>
      <c r="DJ38" s="852"/>
      <c r="DK38" s="816"/>
      <c r="DL38" s="853"/>
      <c r="DM38" s="854"/>
      <c r="DN38" s="855"/>
      <c r="DO38" s="856"/>
      <c r="DP38" s="857"/>
      <c r="DQ38" s="858"/>
      <c r="DR38" s="859"/>
      <c r="DS38" s="860"/>
      <c r="DT38" s="860"/>
      <c r="DU38" s="857"/>
      <c r="DV38" s="861"/>
      <c r="DW38" s="862"/>
      <c r="DX38" s="863"/>
      <c r="DY38" s="863"/>
    </row>
    <row r="39" spans="1:174" s="678" customFormat="1" ht="30.75" customHeight="1" x14ac:dyDescent="0.2">
      <c r="A39" s="599">
        <v>258</v>
      </c>
      <c r="B39" s="600">
        <v>7</v>
      </c>
      <c r="C39" s="599"/>
      <c r="D39" s="599" t="str">
        <f>IF(F39="Nam","Ông","Bà")</f>
        <v>Ông</v>
      </c>
      <c r="E39" s="601" t="s">
        <v>32</v>
      </c>
      <c r="F39" s="599" t="s">
        <v>378</v>
      </c>
      <c r="G39" s="602" t="s">
        <v>329</v>
      </c>
      <c r="H39" s="603" t="s">
        <v>359</v>
      </c>
      <c r="I39" s="604" t="s">
        <v>376</v>
      </c>
      <c r="J39" s="603" t="s">
        <v>359</v>
      </c>
      <c r="K39" s="605" t="s">
        <v>324</v>
      </c>
      <c r="L39" s="606" t="s">
        <v>451</v>
      </c>
      <c r="M39" s="607" t="str">
        <f>IF(L39="công chức","CC",IF(L39="viên chức","VC",IF(L39="người lao động","NLĐ","- - -")))</f>
        <v>VC</v>
      </c>
      <c r="N39" s="608"/>
      <c r="O39" s="609" t="e">
        <f>IF(AND((Q39+0)&gt;0.3,(Q39+0)&lt;1.5),"CVụ","- -")</f>
        <v>#N/A</v>
      </c>
      <c r="P39" s="610"/>
      <c r="Q39" s="611" t="e">
        <f>VLOOKUP(P39,'[5]- DLiêu Gốc -'!$C$2:$H$114,2,0)</f>
        <v>#N/A</v>
      </c>
      <c r="R39" s="681"/>
      <c r="S39" s="682" t="s">
        <v>112</v>
      </c>
      <c r="T39" s="612" t="str">
        <f>VLOOKUP(Y39,'[5]- DLiêu Gốc -'!$C$2:$H$60,5,0)</f>
        <v>A2</v>
      </c>
      <c r="U39" s="613" t="str">
        <f>VLOOKUP(Y39,'[5]- DLiêu Gốc -'!$C$2:$H$60,6,0)</f>
        <v>A2.1</v>
      </c>
      <c r="V39" s="683" t="s">
        <v>424</v>
      </c>
      <c r="W39" s="684" t="str">
        <f>IF(OR(Y39="Kỹ thuật viên đánh máy",Y39="Nhân viên đánh máy",Y39="Nhân viên kỹ thuật",Y39="Nhân viên văn thư",Y39="Nhân viên phục vụ",Y39="Lái xe cơ quan",Y39="Nhân viên bảo vệ"),"Nhân viên",Y39)</f>
        <v>Giảng viên chính (hạng II)</v>
      </c>
      <c r="X39" s="685" t="str">
        <f>IF(W39="Nhân viên","01.005",Z39)</f>
        <v>V.07.01.02</v>
      </c>
      <c r="Y39" s="614" t="s">
        <v>431</v>
      </c>
      <c r="Z39" s="614" t="str">
        <f>VLOOKUP(Y39,'[5]- DLiêu Gốc -'!$C$1:$H$132,2,0)</f>
        <v>V.07.01.02</v>
      </c>
      <c r="AA39" s="615" t="str">
        <f>IF(OR(AND(BB39=36,BA39=3),AND(BB39=24,BA39=2),AND(BB39=12,BA39=1)),"Đến $",IF(OR(AND(BB39&gt;36,BA39=3),AND(BB39&gt;24,BA39=2),AND(BB39&gt;12,BA39=1)),"Dừng $","Lương"))</f>
        <v>Lương</v>
      </c>
      <c r="AB39" s="616">
        <v>1</v>
      </c>
      <c r="AC39" s="617" t="str">
        <f>IF(AD39&gt;0,"/")</f>
        <v>/</v>
      </c>
      <c r="AD39" s="618">
        <f>IF(OR(BD39=0.18,BD39=0.2),12,IF(BD39=0.31,10,IF(BD39=0.33,9,IF(BD39=0.34,8,IF(BD39=0.36,6)))))</f>
        <v>8</v>
      </c>
      <c r="AE39" s="619">
        <f>BC39+(AB39-1)*BD39</f>
        <v>4.4000000000000004</v>
      </c>
      <c r="AF39" s="620"/>
      <c r="AG39" s="620"/>
      <c r="AH39" s="621"/>
      <c r="AI39" s="622"/>
      <c r="AJ39" s="623"/>
      <c r="AK39" s="622"/>
      <c r="AL39" s="624"/>
      <c r="AM39" s="625"/>
      <c r="AN39" s="626"/>
      <c r="AO39" s="627">
        <f>AB39+1</f>
        <v>2</v>
      </c>
      <c r="AP39" s="628" t="str">
        <f>IF(AD39=AB39,"%",IF(AD39&gt;AB39,"/"))</f>
        <v>/</v>
      </c>
      <c r="AQ39" s="629">
        <f>IF(AND(AD39=AB39,AO39=4),5,IF(AND(AD39=AB39,AO39&gt;4),AO39+1,IF(AD39&gt;AB39,AD39)))</f>
        <v>8</v>
      </c>
      <c r="AR39" s="630">
        <f>IF(AD39=AB39,"%",IF(AD39&gt;AB39,AE39+BD39))</f>
        <v>4.74</v>
      </c>
      <c r="AS39" s="631"/>
      <c r="AT39" s="632" t="s">
        <v>341</v>
      </c>
      <c r="AU39" s="633" t="s">
        <v>359</v>
      </c>
      <c r="AV39" s="634" t="s">
        <v>347</v>
      </c>
      <c r="AW39" s="633" t="s">
        <v>359</v>
      </c>
      <c r="AX39" s="635">
        <v>2015</v>
      </c>
      <c r="AY39" s="636"/>
      <c r="AZ39" s="637"/>
      <c r="BA39" s="638">
        <f>IF(AND(AD39&gt;AB39,OR(BD39=0.18,BD39=0.2)),2,IF(AND(AD39&gt;AB39,OR(BD39=0.31,BD39=0.33,BD39=0.34,BD39=0.36)),3,IF(AD39=AB39,1)))</f>
        <v>3</v>
      </c>
      <c r="BB39" s="639">
        <f>12*($AA$2-AX39)+($AA$3-AV39)-AM39</f>
        <v>-24187</v>
      </c>
      <c r="BC39" s="640">
        <f>VLOOKUP(Y39,'[5]- DLiêu Gốc -'!$C$1:$F$60,3,0)</f>
        <v>4.4000000000000004</v>
      </c>
      <c r="BD39" s="640">
        <f>VLOOKUP(Y39,'[5]- DLiêu Gốc -'!$C$1:$F$60,4,0)</f>
        <v>0.34</v>
      </c>
      <c r="BE39" s="641" t="str">
        <f>IF(AND(BF39&gt;3,BX39=12),"Đến %",IF(AND(BF39&gt;3,BX39&gt;12,BX39&lt;120),"Dừng %",IF(AND(BF39&gt;3,BX39&lt;12),"PCTN","o-o-o")))</f>
        <v>PCTN</v>
      </c>
      <c r="BF39" s="642">
        <v>15</v>
      </c>
      <c r="BG39" s="758" t="s">
        <v>332</v>
      </c>
      <c r="BH39" s="643" t="s">
        <v>341</v>
      </c>
      <c r="BI39" s="644" t="s">
        <v>359</v>
      </c>
      <c r="BJ39" s="645">
        <v>3</v>
      </c>
      <c r="BK39" s="686" t="s">
        <v>359</v>
      </c>
      <c r="BL39" s="687">
        <v>2017</v>
      </c>
      <c r="BM39" s="688"/>
      <c r="BN39" s="689"/>
      <c r="BO39" s="646">
        <f>IF(BF39&gt;3,BF39+1,0)</f>
        <v>16</v>
      </c>
      <c r="BP39" s="690" t="s">
        <v>332</v>
      </c>
      <c r="BQ39" s="691" t="s">
        <v>341</v>
      </c>
      <c r="BR39" s="633" t="s">
        <v>359</v>
      </c>
      <c r="BS39" s="647">
        <v>3</v>
      </c>
      <c r="BT39" s="692" t="s">
        <v>359</v>
      </c>
      <c r="BU39" s="671">
        <v>2018</v>
      </c>
      <c r="BV39" s="648"/>
      <c r="BW39" s="649">
        <v>3</v>
      </c>
      <c r="BX39" s="650">
        <f>IF(BF39&gt;3,(($BE$2-BU39)*12+($BE$3-BS39)-BM39),"- - -")</f>
        <v>-24219</v>
      </c>
      <c r="BY39" s="641" t="str">
        <f>IF(AND(CU39="Hưu",BF39&gt;3),12-(12*(DA39-BU39)+(CZ39-BS39))-BM39,"- - -")</f>
        <v>- - -</v>
      </c>
      <c r="BZ39" s="651" t="str">
        <f>IF(OR(S39="Ban Tổ chức - Cán bộ",S39="Văn phòng Học viện",S39="Phó Giám đốc Thường trực Học viện",S39="Phó Giám đốc Học viện"),"Chánh Văn phòng Học viện, Trưởng Ban Tổ chức - Cán bộ",IF(OR(S39="Trung tâm Ngoại ngữ",S39="Trung tâm Tin học hành chính và Công nghệ thông tin",S39="Trung tâm Tin học - Thư viện",S39="Phân viện khu vực Tây Nguyên"),"Chánh Văn phòng Học viện, Trưởng Ban Tổ chức - Cán bộ, "&amp;CONCATENATE("Giám đốc ",S39),IF(S39="Tạp chí Quản lý nhà nước","Chánh Văn phòng Học viện, Trưởng Ban Tổ chức - Cán bộ, "&amp;CONCATENATE("Tổng Biên tập ",S39),IF(S39="Văn phòng Đảng uỷ Học viện","Chánh Văn phòng Học viện, Trưởng Ban Tổ chức - Cán bộ, "&amp;CONCATENATE("Chánh",S39),IF(S39="Viện Nghiên cứu Khoa học hành chính","Chánh Văn phòng Học viện, Trưởng Ban Tổ chức - Cán bộ, "&amp;CONCATENATE("Viện Trưởng ",S39),IF(OR(S39="Cơ sở Học viện Hành chính Quốc gia khu vực miền Trung",S39="Cơ sở Học viện Hành chính Quốc gia tại Thành phố Hồ Chí Minh"),"Chánh Văn phòng Học viện, Trưởng Ban Tổ chức - Cán bộ, "&amp;CONCATENATE("Thủ trưởng ",S39),"Chánh Văn phòng Học viện, Trưởng Ban Tổ chức - Cán bộ, "&amp;CONCATENATE("Trưởng ",S39)))))))</f>
        <v>Chánh Văn phòng Học viện, Trưởng Ban Tổ chức - Cán bộ, Trưởng Khoa Quản lý nhà nước về Kinh tế</v>
      </c>
      <c r="CA39" s="652" t="str">
        <f>IF(S39="Cơ sở Học viện Hành chính khu vực miền Trung","B",IF(S39="Phân viện Khu vực Tây Nguyên","C",IF(S39="Cơ sở Học viện Hành chính tại thành phố Hồ Chí Minh","D","A")))</f>
        <v>A</v>
      </c>
      <c r="CB39" s="653" t="str">
        <f>IF(AND(AO39&gt;0,AB39&lt;(AD39-1),CC39&gt;0,CC39&lt;13,OR(AND(CI39="Cùg Ng",($CB$2-CE39)&gt;BA39),CI39="- - -")),"Sớm TT","=&gt; s")</f>
        <v>=&gt; s</v>
      </c>
      <c r="CC39" s="615">
        <f>IF(BA39=3,36-(12*($CB$2-AX39)+(12-AV39)-AM39),IF(BA39=2,24-(12*($CB$2-AX39)+(12-AV39)-AM39),"---"))</f>
        <v>24211</v>
      </c>
      <c r="CD39" s="599" t="str">
        <f>IF(CE39&gt;1,"S","---")</f>
        <v>---</v>
      </c>
      <c r="CE39" s="599"/>
      <c r="CF39" s="654"/>
      <c r="CG39" s="599"/>
      <c r="CH39" s="655"/>
      <c r="CI39" s="599" t="str">
        <f>IF(X39=CF39,"Cùg Ng","- - -")</f>
        <v>- - -</v>
      </c>
      <c r="CJ39" s="656" t="str">
        <f>IF(CL39&gt;2000,"NN","- - -")</f>
        <v>NN</v>
      </c>
      <c r="CK39" s="657">
        <v>7</v>
      </c>
      <c r="CL39" s="658">
        <v>2012</v>
      </c>
      <c r="CM39" s="657"/>
      <c r="CN39" s="659"/>
      <c r="CO39" s="656" t="str">
        <f>IF(CQ39&gt;2000,"CN","- - -")</f>
        <v>- - -</v>
      </c>
      <c r="CP39" s="657"/>
      <c r="CQ39" s="658"/>
      <c r="CR39" s="657"/>
      <c r="CS39" s="659"/>
      <c r="CT39" s="660" t="str">
        <f>IF(AND(CU39="Hưu",AB39&lt;(AD39-1),DB39&gt;0,DB39&lt;18,OR(BF39&lt;4,AND(BF39&gt;3,OR(BY39&lt;3,BY39&gt;5)))),"Lg Sớm",IF(AND(CU39="Hưu",AB39&gt;(AD39-2),OR(BD39=0.33,BD39=0.34),OR(BF39&lt;4,AND(BF39&gt;3,OR(BY39&lt;3,BY39&gt;5)))),"Nâng Ngạch",IF(AND(CU39="Hưu",BA39=1,DB39&gt;2,DB39&lt;6,OR(BF39&lt;4,AND(BF39&gt;3,OR(BY39&lt;3,BY39&gt;5)))),"Nâng PcVK cùng QĐ",IF(AND(CU39="Hưu",BF39&gt;3,BY39&gt;2,BY39&lt;6,AB39&lt;(AD39-1),DB39&gt;17,OR(BA39&gt;1,AND(BA39=1,OR(DB39&lt;3,DB39&gt;5)))),"Nâng PcNG cùng QĐ",IF(AND(CU39="Hưu",AB39&lt;(AD39-1),DB39&gt;0,DB39&lt;18,BF39&gt;3,BY39&gt;2,BY39&lt;6),"Nâng Lg Sớm +(PcNG cùng QĐ)",IF(AND(CU39="Hưu",AB39&gt;(AD39-2),OR(BD39=0.33,BD39=0.34),BF39&gt;3,BY39&gt;2,BY39&lt;6),"Nâng Ngạch +(PcNG cùng QĐ)",IF(AND(CU39="Hưu",BA39=1,DB39&gt;2,DB39&lt;6,BF39&gt;3,BY39&gt;2,BY39&lt;6),"Nâng (PcVK +PcNG) cùng QĐ",("---"))))))))</f>
        <v>---</v>
      </c>
      <c r="CU39" s="661" t="str">
        <f>IF(AND(DF39&gt;DE39,DF39&lt;(DE39+13)),"Hưu",IF(AND(DF39&gt;(DE39+12),DF39&lt;1000),"Quá","/-/ /-/"))</f>
        <v>/-/ /-/</v>
      </c>
      <c r="CV39" s="662">
        <f>IF((I39+0)&lt;12,(I39+0)+1,IF((I39+0)=12,1,IF((I39+0)&gt;12,(I39+0)-12)))</f>
        <v>5</v>
      </c>
      <c r="CW39" s="663">
        <f>IF(OR((I39+0)=12,(I39+0)&gt;12),K39+DE39/12+1,IF(AND((I39+0)&gt;0,(I39+0)&lt;12),K39+DE39/12,"---"))</f>
        <v>2029</v>
      </c>
      <c r="CX39" s="662">
        <f>IF(AND(CV39&gt;3,CV39&lt;13),CV39-3,IF(CV39&lt;4,CV39-3+12))</f>
        <v>2</v>
      </c>
      <c r="CY39" s="663">
        <f>IF(CX39&lt;CV39,CW39,IF(CX39&gt;CV39,CW39-1))</f>
        <v>2029</v>
      </c>
      <c r="CZ39" s="662">
        <f>IF(CV39&gt;6,CV39-6,IF(CV39=6,12,IF(CV39&lt;6,CV39+6)))</f>
        <v>11</v>
      </c>
      <c r="DA39" s="663">
        <f>IF(CV39&gt;6,CW39,IF(CV39&lt;7,CW39-1))</f>
        <v>2028</v>
      </c>
      <c r="DB39" s="664" t="str">
        <f>IF(AND(CU39="Hưu",BA39=3),36+AM39-(12*(DA39-AX39)+(CZ39-AV39)),IF(AND(CU39="Hưu",BA39=2),24+AM39-(12*(DA39-AX39)+(CZ39-AV39)),IF(AND(CU39="Hưu",BA39=1),12+AM39-(12*(DA39-AX39)+(CZ39-AV39)),"- - -")))</f>
        <v>- - -</v>
      </c>
      <c r="DC39" s="665" t="str">
        <f>IF(DD39&gt;0,"K.Dài",". .")</f>
        <v>. .</v>
      </c>
      <c r="DD39" s="665"/>
      <c r="DE39" s="615">
        <f>IF(F39="Nam",(60+DD39)*12,IF(F39="Nữ",(55+DD39)*12,))</f>
        <v>720</v>
      </c>
      <c r="DF39" s="615">
        <f>12*($CU$4-K39)+(12-I39)</f>
        <v>-23620</v>
      </c>
      <c r="DG39" s="615">
        <f>$DK$4-K39</f>
        <v>-1969</v>
      </c>
      <c r="DH39" s="615" t="str">
        <f>IF(AND(DG39&lt;35,F39="Nam"),"Nam dưới 35",IF(AND(DG39&lt;30,F39="Nữ"),"Nữ dưới 30",IF(AND(DG39&gt;34,DG39&lt;46,F39="Nam"),"Nam từ 35 - 45",IF(AND(DG39&gt;29,DG39&lt;41,F39="Nữ"),"Nữ từ 30 - 40",IF(AND(DG39&gt;45,DG39&lt;56,F39="Nam"),"Nam trên 45 - 55",IF(AND(DG39&gt;40,DG39&lt;51,F39="Nữ"),"Nữ trên 40 - 50",IF(AND(DG39&gt;55,F39="Nam"),"Nam trên 55","Nữ trên 50")))))))</f>
        <v>Nam dưới 35</v>
      </c>
      <c r="DI39" s="615"/>
      <c r="DJ39" s="615"/>
      <c r="DK39" s="641" t="str">
        <f>IF(DG39&lt;31,"Đến 30",IF(AND(DG39&gt;30,DG39&lt;46),"31 - 45",IF(AND(DG39&gt;45,DG39&lt;70),"Trên 45")))</f>
        <v>Đến 30</v>
      </c>
      <c r="DL39" s="657" t="str">
        <f>IF(DM39&gt;0,"TD","--")</f>
        <v>--</v>
      </c>
      <c r="DM39" s="666"/>
      <c r="DN39" s="599"/>
      <c r="DO39" s="667"/>
      <c r="DP39" s="666"/>
      <c r="DQ39" s="659"/>
      <c r="DR39" s="668"/>
      <c r="DS39" s="669"/>
      <c r="DT39" s="670"/>
      <c r="DU39" s="671"/>
      <c r="DV39" s="672"/>
      <c r="DW39" s="632" t="s">
        <v>341</v>
      </c>
      <c r="DX39" s="634" t="s">
        <v>359</v>
      </c>
      <c r="DY39" s="634" t="s">
        <v>347</v>
      </c>
      <c r="DZ39" s="634" t="s">
        <v>359</v>
      </c>
      <c r="EA39" s="673">
        <v>2012</v>
      </c>
      <c r="EB39" s="634">
        <f>(DW39+0)-(ED39+0)</f>
        <v>0</v>
      </c>
      <c r="EC39" s="674" t="str">
        <f>IF(EB39&gt;0,"Sửa","- - -")</f>
        <v>- - -</v>
      </c>
      <c r="ED39" s="632" t="s">
        <v>341</v>
      </c>
      <c r="EE39" s="634" t="s">
        <v>359</v>
      </c>
      <c r="EF39" s="634" t="s">
        <v>347</v>
      </c>
      <c r="EG39" s="634" t="s">
        <v>359</v>
      </c>
      <c r="EH39" s="673">
        <v>2012</v>
      </c>
      <c r="EI39" s="599">
        <v>3.66</v>
      </c>
      <c r="EJ39" s="656" t="str">
        <f>IF(AND(BD39&gt;0.34,AO39=1,OR(BC39=6.2,BC39=5.75)),((BC39-EI39)-2*0.34),IF(AND(BD39&gt;0.33,AO39=1,OR(BC39=4.4,BC39=4)),((BC39-EI39)-2*0.33),"- - -"))</f>
        <v>- - -</v>
      </c>
      <c r="EK39" s="675" t="str">
        <f>IF(CU39="Hưu",12*(DA39-AX39)+(CZ39-AV39),"---")</f>
        <v>---</v>
      </c>
      <c r="EL39" s="671"/>
      <c r="EM39" s="676"/>
      <c r="EN39" s="676"/>
      <c r="EO39" s="676"/>
      <c r="EP39" s="676"/>
      <c r="EQ39" s="676"/>
      <c r="ER39" s="676"/>
      <c r="ES39" s="676"/>
      <c r="ET39" s="676"/>
      <c r="EU39" s="676"/>
      <c r="EV39" s="676"/>
      <c r="EW39" s="676"/>
      <c r="EX39" s="676"/>
      <c r="EY39" s="676"/>
      <c r="EZ39" s="676"/>
      <c r="FA39" s="676"/>
      <c r="FB39" s="676"/>
      <c r="FC39" s="676"/>
      <c r="FD39" s="676"/>
      <c r="FE39" s="676"/>
      <c r="FF39" s="676"/>
      <c r="FG39" s="676"/>
      <c r="FH39" s="676"/>
      <c r="FI39" s="676"/>
      <c r="FJ39" s="676"/>
      <c r="FK39" s="677"/>
      <c r="FL39" s="677"/>
      <c r="FM39" s="677"/>
      <c r="FN39" s="677"/>
      <c r="FO39" s="677"/>
    </row>
    <row r="40" spans="1:174" s="751" customFormat="1" ht="30.75" customHeight="1" x14ac:dyDescent="0.2">
      <c r="A40" s="693"/>
      <c r="B40" s="694"/>
      <c r="C40" s="693"/>
      <c r="D40" s="693"/>
      <c r="E40" s="695"/>
      <c r="F40" s="693"/>
      <c r="G40" s="696"/>
      <c r="H40" s="697"/>
      <c r="I40" s="696"/>
      <c r="J40" s="697"/>
      <c r="K40" s="695"/>
      <c r="L40" s="698"/>
      <c r="M40" s="699"/>
      <c r="N40" s="700"/>
      <c r="O40" s="701"/>
      <c r="P40" s="695"/>
      <c r="Q40" s="694"/>
      <c r="R40" s="702"/>
      <c r="S40" s="703"/>
      <c r="T40" s="704"/>
      <c r="U40" s="705"/>
      <c r="V40" s="706"/>
      <c r="W40" s="707"/>
      <c r="X40" s="708"/>
      <c r="Y40" s="709"/>
      <c r="Z40" s="709"/>
      <c r="AA40" s="710"/>
      <c r="AB40" s="711"/>
      <c r="AC40" s="712"/>
      <c r="AD40" s="712"/>
      <c r="AE40" s="713"/>
      <c r="AF40" s="713"/>
      <c r="AG40" s="713"/>
      <c r="AH40" s="713"/>
      <c r="AI40" s="714"/>
      <c r="AJ40" s="713"/>
      <c r="AK40" s="714"/>
      <c r="AL40" s="715"/>
      <c r="AM40" s="716"/>
      <c r="AN40" s="717"/>
      <c r="AO40" s="718"/>
      <c r="AP40" s="719"/>
      <c r="AQ40" s="720"/>
      <c r="AR40" s="719"/>
      <c r="AS40" s="719"/>
      <c r="AT40" s="721"/>
      <c r="AU40" s="722"/>
      <c r="AV40" s="723"/>
      <c r="AW40" s="722"/>
      <c r="AX40" s="695"/>
      <c r="AY40" s="724"/>
      <c r="AZ40" s="725"/>
      <c r="BA40" s="726"/>
      <c r="BB40" s="727"/>
      <c r="BC40" s="704"/>
      <c r="BD40" s="704"/>
      <c r="BE40" s="728"/>
      <c r="BF40" s="729"/>
      <c r="BG40" s="726"/>
      <c r="BH40" s="730"/>
      <c r="BI40" s="731"/>
      <c r="BJ40" s="732"/>
      <c r="BK40" s="731"/>
      <c r="BL40" s="733"/>
      <c r="BM40" s="734"/>
      <c r="BN40" s="735"/>
      <c r="BO40" s="729"/>
      <c r="BP40" s="717"/>
      <c r="BQ40" s="730"/>
      <c r="BR40" s="722"/>
      <c r="BS40" s="696"/>
      <c r="BT40" s="722"/>
      <c r="BU40" s="695"/>
      <c r="BV40" s="736"/>
      <c r="BW40" s="737"/>
      <c r="BX40" s="738"/>
      <c r="BY40" s="728"/>
      <c r="BZ40" s="739"/>
      <c r="CA40" s="740"/>
      <c r="CB40" s="710"/>
      <c r="CC40" s="710"/>
      <c r="CD40" s="693"/>
      <c r="CE40" s="693"/>
      <c r="CF40" s="598"/>
      <c r="CG40" s="693"/>
      <c r="CH40" s="741"/>
      <c r="CI40" s="693"/>
      <c r="CJ40" s="742"/>
      <c r="CK40" s="742"/>
      <c r="CL40" s="693"/>
      <c r="CM40" s="742"/>
      <c r="CN40" s="742"/>
      <c r="CO40" s="742"/>
      <c r="CP40" s="742"/>
      <c r="CQ40" s="693"/>
      <c r="CR40" s="742"/>
      <c r="CS40" s="742"/>
      <c r="CT40" s="743"/>
      <c r="CU40" s="744"/>
      <c r="CV40" s="745"/>
      <c r="CW40" s="745"/>
      <c r="CX40" s="745"/>
      <c r="CY40" s="745"/>
      <c r="CZ40" s="745"/>
      <c r="DA40" s="745"/>
      <c r="DB40" s="746"/>
      <c r="DC40" s="747"/>
      <c r="DD40" s="747"/>
      <c r="DE40" s="710"/>
      <c r="DF40" s="710"/>
      <c r="DG40" s="710"/>
      <c r="DH40" s="710"/>
      <c r="DI40" s="710"/>
      <c r="DJ40" s="710"/>
      <c r="DK40" s="728"/>
      <c r="DL40" s="742"/>
      <c r="DM40" s="693"/>
      <c r="DN40" s="693"/>
      <c r="DO40" s="693"/>
      <c r="DP40" s="693"/>
      <c r="DQ40" s="742"/>
      <c r="DR40" s="742"/>
      <c r="DS40" s="712"/>
      <c r="DT40" s="748"/>
      <c r="DU40" s="695"/>
      <c r="DV40" s="695"/>
      <c r="DW40" s="721"/>
      <c r="DX40" s="723"/>
      <c r="DY40" s="723"/>
      <c r="DZ40" s="723"/>
      <c r="EA40" s="749"/>
      <c r="EB40" s="723"/>
      <c r="EC40" s="693"/>
      <c r="ED40" s="721"/>
      <c r="EE40" s="723"/>
      <c r="EF40" s="723"/>
      <c r="EG40" s="723"/>
      <c r="EH40" s="749"/>
      <c r="EI40" s="693"/>
      <c r="EJ40" s="742"/>
      <c r="EK40" s="746"/>
      <c r="EL40" s="695"/>
      <c r="EM40" s="745"/>
      <c r="EN40" s="745"/>
      <c r="EO40" s="745"/>
      <c r="EP40" s="745"/>
      <c r="EQ40" s="745"/>
      <c r="ER40" s="745"/>
      <c r="ES40" s="745"/>
      <c r="ET40" s="745"/>
      <c r="EU40" s="745"/>
      <c r="EV40" s="745"/>
      <c r="EW40" s="745"/>
      <c r="EX40" s="745"/>
      <c r="EY40" s="745"/>
      <c r="EZ40" s="745"/>
      <c r="FA40" s="745"/>
      <c r="FB40" s="745"/>
      <c r="FC40" s="745"/>
      <c r="FD40" s="745"/>
      <c r="FE40" s="745"/>
      <c r="FF40" s="745"/>
      <c r="FG40" s="745"/>
      <c r="FH40" s="745"/>
      <c r="FI40" s="745"/>
      <c r="FJ40" s="745"/>
      <c r="FK40" s="750"/>
      <c r="FL40" s="750"/>
      <c r="FM40" s="750"/>
      <c r="FN40" s="750"/>
      <c r="FO40" s="750"/>
    </row>
    <row r="41" spans="1:174" s="751" customFormat="1" ht="30.75" customHeight="1" x14ac:dyDescent="0.2">
      <c r="A41" s="693"/>
      <c r="B41" s="694"/>
      <c r="C41" s="693"/>
      <c r="D41" s="693"/>
      <c r="E41" s="695"/>
      <c r="F41" s="693"/>
      <c r="G41" s="696"/>
      <c r="H41" s="697"/>
      <c r="I41" s="696"/>
      <c r="J41" s="697"/>
      <c r="K41" s="695"/>
      <c r="L41" s="698"/>
      <c r="M41" s="699"/>
      <c r="N41" s="700"/>
      <c r="O41" s="701"/>
      <c r="P41" s="695"/>
      <c r="Q41" s="694"/>
      <c r="R41" s="702"/>
      <c r="S41" s="703"/>
      <c r="T41" s="704"/>
      <c r="U41" s="705"/>
      <c r="V41" s="706"/>
      <c r="W41" s="707"/>
      <c r="X41" s="708"/>
      <c r="Y41" s="709"/>
      <c r="Z41" s="709"/>
      <c r="AA41" s="710"/>
      <c r="AB41" s="711"/>
      <c r="AC41" s="712"/>
      <c r="AD41" s="712"/>
      <c r="AE41" s="713"/>
      <c r="AF41" s="713"/>
      <c r="AG41" s="713"/>
      <c r="AH41" s="713"/>
      <c r="AI41" s="714"/>
      <c r="AJ41" s="713"/>
      <c r="AK41" s="714"/>
      <c r="AL41" s="715"/>
      <c r="AM41" s="716"/>
      <c r="AN41" s="717"/>
      <c r="AO41" s="718"/>
      <c r="AP41" s="719"/>
      <c r="AQ41" s="720"/>
      <c r="AR41" s="719"/>
      <c r="AS41" s="719"/>
      <c r="AT41" s="721"/>
      <c r="AU41" s="722"/>
      <c r="AV41" s="723"/>
      <c r="AW41" s="722"/>
      <c r="AX41" s="695"/>
      <c r="AY41" s="724"/>
      <c r="AZ41" s="725"/>
      <c r="BA41" s="726"/>
      <c r="BB41" s="727"/>
      <c r="BC41" s="704"/>
      <c r="BD41" s="704"/>
      <c r="BE41" s="728"/>
      <c r="BF41" s="729"/>
      <c r="BG41" s="726"/>
      <c r="BH41" s="730"/>
      <c r="BI41" s="731"/>
      <c r="BJ41" s="732"/>
      <c r="BK41" s="731"/>
      <c r="BL41" s="733"/>
      <c r="BM41" s="734"/>
      <c r="BN41" s="735"/>
      <c r="BO41" s="729"/>
      <c r="BP41" s="717"/>
      <c r="BQ41" s="730"/>
      <c r="BR41" s="722"/>
      <c r="BS41" s="696"/>
      <c r="BT41" s="722"/>
      <c r="BU41" s="695"/>
      <c r="BV41" s="736"/>
      <c r="BW41" s="737"/>
      <c r="BX41" s="738"/>
      <c r="BY41" s="728"/>
      <c r="BZ41" s="739"/>
      <c r="CA41" s="740"/>
      <c r="CB41" s="710"/>
      <c r="CC41" s="710"/>
      <c r="CD41" s="693"/>
      <c r="CE41" s="693"/>
      <c r="CF41" s="598"/>
      <c r="CG41" s="693"/>
      <c r="CH41" s="741"/>
      <c r="CI41" s="693"/>
      <c r="CJ41" s="742"/>
      <c r="CK41" s="742"/>
      <c r="CL41" s="693"/>
      <c r="CM41" s="742"/>
      <c r="CN41" s="742"/>
      <c r="CO41" s="742"/>
      <c r="CP41" s="742"/>
      <c r="CQ41" s="693"/>
      <c r="CR41" s="742"/>
      <c r="CS41" s="742"/>
      <c r="CT41" s="743"/>
      <c r="CU41" s="744"/>
      <c r="CV41" s="745"/>
      <c r="CW41" s="745"/>
      <c r="CX41" s="745"/>
      <c r="CY41" s="745"/>
      <c r="CZ41" s="745"/>
      <c r="DA41" s="745"/>
      <c r="DB41" s="746"/>
      <c r="DC41" s="747"/>
      <c r="DD41" s="747"/>
      <c r="DE41" s="710"/>
      <c r="DF41" s="710"/>
      <c r="DG41" s="710"/>
      <c r="DH41" s="710"/>
      <c r="DI41" s="710"/>
      <c r="DJ41" s="710"/>
      <c r="DK41" s="728"/>
      <c r="DL41" s="742"/>
      <c r="DM41" s="693"/>
      <c r="DN41" s="693"/>
      <c r="DO41" s="693"/>
      <c r="DP41" s="693"/>
      <c r="DQ41" s="742"/>
      <c r="DR41" s="742"/>
      <c r="DS41" s="712"/>
      <c r="DT41" s="748"/>
      <c r="DU41" s="695"/>
      <c r="DV41" s="695"/>
      <c r="DW41" s="721"/>
      <c r="DX41" s="723"/>
      <c r="DY41" s="723"/>
      <c r="DZ41" s="723"/>
      <c r="EA41" s="749"/>
      <c r="EB41" s="723"/>
      <c r="EC41" s="693"/>
      <c r="ED41" s="721"/>
      <c r="EE41" s="723"/>
      <c r="EF41" s="723"/>
      <c r="EG41" s="723"/>
      <c r="EH41" s="749"/>
      <c r="EI41" s="693"/>
      <c r="EJ41" s="742"/>
      <c r="EK41" s="746"/>
      <c r="EL41" s="695"/>
      <c r="EM41" s="745"/>
      <c r="EN41" s="745"/>
      <c r="EO41" s="745"/>
      <c r="EP41" s="745"/>
      <c r="EQ41" s="745"/>
      <c r="ER41" s="745"/>
      <c r="ES41" s="745"/>
      <c r="ET41" s="745"/>
      <c r="EU41" s="745"/>
      <c r="EV41" s="745"/>
      <c r="EW41" s="745"/>
      <c r="EX41" s="745"/>
      <c r="EY41" s="745"/>
      <c r="EZ41" s="745"/>
      <c r="FA41" s="745"/>
      <c r="FB41" s="745"/>
      <c r="FC41" s="745"/>
      <c r="FD41" s="745"/>
      <c r="FE41" s="745"/>
      <c r="FF41" s="745"/>
      <c r="FG41" s="745"/>
      <c r="FH41" s="745"/>
      <c r="FI41" s="745"/>
      <c r="FJ41" s="745"/>
      <c r="FK41" s="750"/>
      <c r="FL41" s="750"/>
      <c r="FM41" s="750"/>
      <c r="FN41" s="750"/>
      <c r="FO41" s="750"/>
    </row>
    <row r="42" spans="1:174" s="680" customFormat="1" ht="41.25" customHeight="1" x14ac:dyDescent="0.2">
      <c r="A42" s="830"/>
      <c r="B42" s="781"/>
      <c r="C42" s="790"/>
      <c r="D42" s="831"/>
      <c r="E42" s="831"/>
      <c r="F42" s="831"/>
      <c r="G42" s="831"/>
      <c r="H42" s="831"/>
      <c r="I42" s="831"/>
      <c r="J42" s="831"/>
      <c r="K42" s="831"/>
      <c r="L42" s="831"/>
      <c r="M42" s="831"/>
      <c r="N42" s="831"/>
      <c r="O42" s="831"/>
      <c r="P42" s="831"/>
      <c r="Q42" s="831"/>
      <c r="R42" s="831"/>
      <c r="S42" s="808"/>
      <c r="T42" s="808"/>
      <c r="U42" s="808"/>
      <c r="V42" s="809"/>
      <c r="W42" s="810"/>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8"/>
      <c r="AY42" s="788"/>
      <c r="AZ42" s="788"/>
      <c r="BA42" s="788"/>
      <c r="BB42" s="788"/>
      <c r="BC42" s="788"/>
      <c r="BD42" s="788"/>
      <c r="BE42" s="788"/>
      <c r="BF42" s="788"/>
      <c r="BG42" s="788"/>
      <c r="BH42" s="788"/>
      <c r="BI42" s="788"/>
      <c r="BJ42" s="1427"/>
      <c r="BK42" s="788"/>
      <c r="BL42" s="788"/>
      <c r="BM42" s="788"/>
      <c r="BN42" s="788"/>
      <c r="BO42" s="788"/>
      <c r="BP42" s="788"/>
      <c r="BQ42" s="788"/>
      <c r="BR42" s="788"/>
      <c r="BS42" s="788"/>
      <c r="BT42" s="788"/>
      <c r="BU42" s="788"/>
      <c r="BV42" s="828"/>
      <c r="BW42" s="828"/>
      <c r="BX42" s="828"/>
      <c r="BY42" s="828"/>
      <c r="BZ42" s="828"/>
      <c r="CA42" s="828"/>
      <c r="CB42" s="828"/>
      <c r="CC42" s="828"/>
      <c r="CD42" s="829"/>
      <c r="CE42" s="717"/>
      <c r="CF42" s="695"/>
      <c r="CG42" s="693"/>
      <c r="CH42" s="723"/>
      <c r="CI42" s="693"/>
      <c r="CJ42" s="811"/>
      <c r="CK42" s="812"/>
      <c r="CL42" s="832"/>
      <c r="CM42" s="813"/>
      <c r="CN42" s="814"/>
      <c r="CO42" s="814"/>
      <c r="CP42" s="833"/>
      <c r="CQ42" s="834"/>
      <c r="CR42" s="805"/>
      <c r="CS42" s="835"/>
      <c r="DJ42" s="815"/>
      <c r="DK42" s="816"/>
      <c r="DL42" s="631"/>
      <c r="DM42" s="836"/>
      <c r="DN42" s="818"/>
      <c r="DO42" s="837"/>
      <c r="DP42" s="838"/>
      <c r="DQ42" s="839"/>
      <c r="DR42" s="840"/>
      <c r="DS42" s="822"/>
      <c r="DT42" s="822"/>
      <c r="DU42" s="838"/>
      <c r="DV42" s="841"/>
      <c r="DW42" s="842"/>
      <c r="DX42" s="843"/>
      <c r="DY42" s="843"/>
    </row>
    <row r="43" spans="1:174" s="680" customFormat="1" ht="41.25" customHeight="1" x14ac:dyDescent="0.2">
      <c r="A43" s="830"/>
      <c r="B43" s="781"/>
      <c r="C43" s="790"/>
      <c r="D43" s="831"/>
      <c r="E43" s="831"/>
      <c r="F43" s="831"/>
      <c r="G43" s="831"/>
      <c r="H43" s="831"/>
      <c r="I43" s="831"/>
      <c r="J43" s="831"/>
      <c r="K43" s="831"/>
      <c r="L43" s="831"/>
      <c r="M43" s="831"/>
      <c r="N43" s="831"/>
      <c r="O43" s="831"/>
      <c r="P43" s="831"/>
      <c r="Q43" s="831"/>
      <c r="R43" s="831"/>
      <c r="S43" s="808"/>
      <c r="T43" s="808"/>
      <c r="U43" s="808"/>
      <c r="V43" s="809"/>
      <c r="W43" s="810"/>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88"/>
      <c r="AY43" s="788"/>
      <c r="AZ43" s="788"/>
      <c r="BA43" s="788"/>
      <c r="BB43" s="788"/>
      <c r="BC43" s="788"/>
      <c r="BD43" s="788"/>
      <c r="BE43" s="788"/>
      <c r="BF43" s="788"/>
      <c r="BG43" s="788"/>
      <c r="BH43" s="788"/>
      <c r="BI43" s="788"/>
      <c r="BJ43" s="1427"/>
      <c r="BK43" s="788"/>
      <c r="BL43" s="788"/>
      <c r="BM43" s="788"/>
      <c r="BN43" s="788"/>
      <c r="BO43" s="788"/>
      <c r="BP43" s="788"/>
      <c r="BQ43" s="788"/>
      <c r="BR43" s="788"/>
      <c r="BS43" s="788"/>
      <c r="BT43" s="788"/>
      <c r="BU43" s="788"/>
      <c r="BV43" s="828"/>
      <c r="BW43" s="828"/>
      <c r="BX43" s="828"/>
      <c r="BY43" s="828"/>
      <c r="BZ43" s="828"/>
      <c r="CA43" s="828"/>
      <c r="CB43" s="828"/>
      <c r="CC43" s="828"/>
      <c r="CD43" s="829"/>
      <c r="CE43" s="717"/>
      <c r="CF43" s="695"/>
      <c r="CG43" s="693"/>
      <c r="CH43" s="723"/>
      <c r="CI43" s="693"/>
      <c r="CJ43" s="811"/>
      <c r="CK43" s="812"/>
      <c r="CL43" s="832"/>
      <c r="CM43" s="813"/>
      <c r="CN43" s="814"/>
      <c r="CO43" s="814"/>
      <c r="CP43" s="833"/>
      <c r="CQ43" s="834"/>
      <c r="CR43" s="805"/>
      <c r="CS43" s="835"/>
      <c r="DJ43" s="815"/>
      <c r="DK43" s="816"/>
      <c r="DL43" s="631"/>
      <c r="DM43" s="836"/>
      <c r="DN43" s="818"/>
      <c r="DO43" s="837"/>
      <c r="DP43" s="838"/>
      <c r="DQ43" s="839"/>
      <c r="DR43" s="840"/>
      <c r="DS43" s="822"/>
      <c r="DT43" s="822"/>
      <c r="DU43" s="838"/>
      <c r="DV43" s="841"/>
      <c r="DW43" s="842"/>
      <c r="DX43" s="843"/>
      <c r="DY43" s="843"/>
    </row>
    <row r="44" spans="1:174" ht="37.5" customHeight="1" x14ac:dyDescent="0.2"/>
    <row r="45" spans="1:174" ht="11.25" customHeight="1" x14ac:dyDescent="0.2"/>
    <row r="46" spans="1:174" s="940" customFormat="1" ht="11.25" customHeight="1" x14ac:dyDescent="0.2">
      <c r="A46" s="864"/>
      <c r="B46" s="865"/>
      <c r="C46" s="576"/>
      <c r="D46" s="576"/>
      <c r="E46" s="575"/>
      <c r="F46" s="576"/>
      <c r="G46" s="866"/>
      <c r="H46" s="867"/>
      <c r="I46" s="866"/>
      <c r="J46" s="867"/>
      <c r="K46" s="575"/>
      <c r="L46" s="868"/>
      <c r="M46" s="869"/>
      <c r="N46" s="870"/>
      <c r="O46" s="871"/>
      <c r="P46" s="575"/>
      <c r="Q46" s="872"/>
      <c r="R46" s="575"/>
      <c r="S46" s="873"/>
      <c r="T46" s="874"/>
      <c r="U46" s="875"/>
      <c r="V46" s="876"/>
      <c r="W46" s="877"/>
      <c r="X46" s="878"/>
      <c r="Y46" s="879"/>
      <c r="Z46" s="879"/>
      <c r="AA46" s="584"/>
      <c r="AB46" s="880"/>
      <c r="AC46" s="881"/>
      <c r="AD46" s="882"/>
      <c r="AE46" s="883"/>
      <c r="AF46" s="884"/>
      <c r="AG46" s="885"/>
      <c r="AH46" s="886"/>
      <c r="AI46" s="887"/>
      <c r="AJ46" s="885"/>
      <c r="AK46" s="887"/>
      <c r="AL46" s="888"/>
      <c r="AM46" s="889"/>
      <c r="AN46" s="890"/>
      <c r="AO46" s="891"/>
      <c r="AP46" s="892"/>
      <c r="AQ46" s="893"/>
      <c r="AR46" s="892"/>
      <c r="AS46" s="894"/>
      <c r="AT46" s="895"/>
      <c r="AU46" s="896"/>
      <c r="AV46" s="897"/>
      <c r="AW46" s="896"/>
      <c r="AX46" s="898"/>
      <c r="AY46" s="899"/>
      <c r="AZ46" s="900"/>
      <c r="BA46" s="901"/>
      <c r="BB46" s="583"/>
      <c r="BC46" s="902"/>
      <c r="BD46" s="903"/>
      <c r="BE46" s="903"/>
      <c r="BF46" s="904"/>
      <c r="BG46" s="905"/>
      <c r="BH46" s="906"/>
      <c r="BI46" s="907"/>
      <c r="BJ46" s="1428"/>
      <c r="BK46" s="909"/>
      <c r="BL46" s="908"/>
      <c r="BM46" s="910"/>
      <c r="BN46" s="911"/>
      <c r="BO46" s="912"/>
      <c r="BP46" s="913"/>
      <c r="BQ46" s="914"/>
      <c r="BR46" s="907"/>
      <c r="BS46" s="896"/>
      <c r="BT46" s="915"/>
      <c r="BU46" s="896"/>
      <c r="BV46" s="910"/>
      <c r="BW46" s="916"/>
      <c r="BX46" s="917"/>
      <c r="BY46" s="918"/>
      <c r="BZ46" s="904"/>
      <c r="CA46" s="919"/>
      <c r="CB46" s="581"/>
      <c r="CC46" s="920"/>
      <c r="CD46" s="584"/>
      <c r="CE46" s="576"/>
      <c r="CF46" s="576"/>
      <c r="CG46" s="921"/>
      <c r="CH46" s="576"/>
      <c r="CI46" s="922"/>
      <c r="CJ46" s="576"/>
      <c r="CK46" s="578"/>
      <c r="CL46" s="923"/>
      <c r="CM46" s="924"/>
      <c r="CN46" s="923"/>
      <c r="CO46" s="925"/>
      <c r="CP46" s="578"/>
      <c r="CQ46" s="923"/>
      <c r="CR46" s="587"/>
      <c r="CS46" s="923"/>
      <c r="CT46" s="925"/>
      <c r="CU46" s="926"/>
      <c r="CV46" s="927"/>
      <c r="CW46" s="928"/>
      <c r="CX46" s="929"/>
      <c r="CY46" s="928"/>
      <c r="CZ46" s="929"/>
      <c r="DA46" s="928"/>
      <c r="DB46" s="929"/>
      <c r="DC46" s="930"/>
      <c r="DD46" s="931"/>
      <c r="DE46" s="931"/>
      <c r="DF46" s="584"/>
      <c r="DG46" s="584"/>
      <c r="DH46" s="584"/>
      <c r="DI46" s="584"/>
      <c r="DJ46" s="584"/>
      <c r="DK46" s="584"/>
      <c r="DL46" s="904"/>
      <c r="DM46" s="923"/>
      <c r="DN46" s="932"/>
      <c r="DO46" s="576"/>
      <c r="DP46" s="933"/>
      <c r="DQ46" s="932"/>
      <c r="DR46" s="925"/>
      <c r="DS46" s="934"/>
      <c r="DT46" s="579"/>
      <c r="DU46" s="577"/>
      <c r="DV46" s="899"/>
      <c r="DW46" s="935"/>
      <c r="DX46" s="936"/>
      <c r="DY46" s="937"/>
      <c r="DZ46" s="895"/>
      <c r="EA46" s="897"/>
      <c r="EB46" s="897"/>
      <c r="EC46" s="897"/>
      <c r="ED46" s="938"/>
      <c r="EE46" s="897"/>
      <c r="EF46" s="939"/>
      <c r="EG46" s="895"/>
      <c r="EH46" s="897"/>
      <c r="EI46" s="897"/>
      <c r="EJ46" s="897"/>
      <c r="EK46" s="938"/>
      <c r="EL46" s="576"/>
      <c r="EM46" s="578"/>
      <c r="EN46" s="582"/>
      <c r="EO46" s="899"/>
    </row>
    <row r="47" spans="1:174" s="1023" customFormat="1" ht="11.25" customHeight="1" x14ac:dyDescent="0.2">
      <c r="A47" s="941"/>
      <c r="B47" s="942"/>
      <c r="C47" s="145"/>
      <c r="D47" s="145"/>
      <c r="E47" s="250"/>
      <c r="F47" s="145"/>
      <c r="G47" s="943"/>
      <c r="H47" s="944"/>
      <c r="I47" s="943"/>
      <c r="J47" s="944"/>
      <c r="K47" s="250"/>
      <c r="L47" s="945"/>
      <c r="M47" s="946"/>
      <c r="N47" s="947"/>
      <c r="O47" s="948"/>
      <c r="P47" s="250"/>
      <c r="Q47" s="949"/>
      <c r="R47" s="250"/>
      <c r="S47" s="950"/>
      <c r="T47" s="951"/>
      <c r="U47" s="952"/>
      <c r="V47" s="953"/>
      <c r="W47" s="954"/>
      <c r="X47" s="762"/>
      <c r="Y47" s="955"/>
      <c r="Z47" s="955"/>
      <c r="AA47" s="956"/>
      <c r="AB47" s="957"/>
      <c r="AC47" s="958"/>
      <c r="AD47" s="959"/>
      <c r="AE47" s="960"/>
      <c r="AF47" s="961"/>
      <c r="AG47" s="962"/>
      <c r="AH47" s="963"/>
      <c r="AI47" s="964"/>
      <c r="AJ47" s="962"/>
      <c r="AK47" s="964"/>
      <c r="AL47" s="965"/>
      <c r="AM47" s="966"/>
      <c r="AN47" s="967"/>
      <c r="AO47" s="968"/>
      <c r="AP47" s="969"/>
      <c r="AQ47" s="970"/>
      <c r="AR47" s="969"/>
      <c r="AS47" s="971"/>
      <c r="AT47" s="972"/>
      <c r="AU47" s="973"/>
      <c r="AV47" s="974"/>
      <c r="AW47" s="973"/>
      <c r="AX47" s="975"/>
      <c r="AY47" s="976"/>
      <c r="AZ47" s="977"/>
      <c r="BA47" s="978"/>
      <c r="BB47" s="979"/>
      <c r="BC47" s="980"/>
      <c r="BD47" s="981"/>
      <c r="BE47" s="981"/>
      <c r="BF47" s="982"/>
      <c r="BG47" s="983"/>
      <c r="BH47" s="984"/>
      <c r="BI47" s="985"/>
      <c r="BJ47" s="1429"/>
      <c r="BK47" s="987"/>
      <c r="BL47" s="986"/>
      <c r="BM47" s="988"/>
      <c r="BN47" s="966"/>
      <c r="BO47" s="989"/>
      <c r="BP47" s="990"/>
      <c r="BQ47" s="991"/>
      <c r="BR47" s="985"/>
      <c r="BS47" s="973"/>
      <c r="BT47" s="992"/>
      <c r="BU47" s="973"/>
      <c r="BV47" s="988"/>
      <c r="BW47" s="993"/>
      <c r="BX47" s="994"/>
      <c r="BY47" s="995"/>
      <c r="BZ47" s="982"/>
      <c r="CA47" s="996"/>
      <c r="CB47" s="27"/>
      <c r="CC47" s="997"/>
      <c r="CD47" s="956"/>
      <c r="CE47" s="145"/>
      <c r="CF47" s="145"/>
      <c r="CG47" s="998"/>
      <c r="CH47" s="145"/>
      <c r="CI47" s="999"/>
      <c r="CJ47" s="145"/>
      <c r="CK47" s="1000"/>
      <c r="CL47" s="1001"/>
      <c r="CM47" s="1002"/>
      <c r="CN47" s="1001"/>
      <c r="CO47" s="1003"/>
      <c r="CP47" s="1000"/>
      <c r="CQ47" s="1001"/>
      <c r="CR47" s="1004"/>
      <c r="CS47" s="1001"/>
      <c r="CT47" s="1003"/>
      <c r="CU47" s="1005"/>
      <c r="CV47" s="1006"/>
      <c r="CW47" s="1007"/>
      <c r="CX47" s="1008"/>
      <c r="CY47" s="1007"/>
      <c r="CZ47" s="1008"/>
      <c r="DA47" s="1007"/>
      <c r="DB47" s="1008"/>
      <c r="DC47" s="1009"/>
      <c r="DD47" s="1010"/>
      <c r="DE47" s="1010"/>
      <c r="DF47" s="956"/>
      <c r="DG47" s="956"/>
      <c r="DH47" s="956"/>
      <c r="DI47" s="956"/>
      <c r="DJ47" s="956"/>
      <c r="DK47" s="956"/>
      <c r="DL47" s="982"/>
      <c r="DM47" s="1001"/>
      <c r="DN47" s="1011"/>
      <c r="DO47" s="145"/>
      <c r="DP47" s="1012"/>
      <c r="DQ47" s="1003"/>
      <c r="DR47" s="1003"/>
      <c r="DS47" s="1013"/>
      <c r="DT47" s="1014"/>
      <c r="DU47" s="1015"/>
      <c r="DV47" s="976"/>
      <c r="DW47" s="1016"/>
      <c r="DX47" s="1017"/>
      <c r="DY47" s="1018"/>
      <c r="DZ47" s="972"/>
      <c r="EA47" s="974"/>
      <c r="EB47" s="974"/>
      <c r="EC47" s="974"/>
      <c r="ED47" s="1019"/>
      <c r="EE47" s="974"/>
      <c r="EF47" s="1020"/>
      <c r="EG47" s="972"/>
      <c r="EH47" s="974"/>
      <c r="EI47" s="974"/>
      <c r="EJ47" s="974"/>
      <c r="EK47" s="1019"/>
      <c r="EL47" s="1021"/>
      <c r="EM47" s="1000"/>
      <c r="EN47" s="1022"/>
      <c r="EO47" s="976"/>
      <c r="FN47" s="1024"/>
      <c r="FO47" s="1024"/>
      <c r="FP47" s="1024"/>
      <c r="FQ47" s="1024"/>
      <c r="FR47" s="1024"/>
    </row>
    <row r="48" spans="1:174" s="1023" customFormat="1" ht="11.25" customHeight="1" x14ac:dyDescent="0.2">
      <c r="A48" s="941"/>
      <c r="B48" s="942"/>
      <c r="C48" s="145"/>
      <c r="D48" s="145"/>
      <c r="E48" s="250"/>
      <c r="F48" s="145"/>
      <c r="G48" s="943"/>
      <c r="H48" s="944"/>
      <c r="I48" s="943"/>
      <c r="J48" s="944"/>
      <c r="K48" s="250"/>
      <c r="L48" s="945"/>
      <c r="M48" s="946"/>
      <c r="N48" s="947"/>
      <c r="O48" s="948"/>
      <c r="P48" s="250"/>
      <c r="Q48" s="949"/>
      <c r="R48" s="250"/>
      <c r="S48" s="250"/>
      <c r="T48" s="951"/>
      <c r="U48" s="952"/>
      <c r="V48" s="953"/>
      <c r="W48" s="954"/>
      <c r="X48" s="762"/>
      <c r="Y48" s="955"/>
      <c r="Z48" s="955"/>
      <c r="AA48" s="956"/>
      <c r="AB48" s="957"/>
      <c r="AC48" s="958"/>
      <c r="AD48" s="959"/>
      <c r="AE48" s="960"/>
      <c r="AF48" s="961"/>
      <c r="AG48" s="962"/>
      <c r="AH48" s="963"/>
      <c r="AI48" s="964"/>
      <c r="AJ48" s="962"/>
      <c r="AK48" s="964"/>
      <c r="AL48" s="965"/>
      <c r="AM48" s="966"/>
      <c r="AN48" s="967"/>
      <c r="AO48" s="968"/>
      <c r="AP48" s="969"/>
      <c r="AQ48" s="970"/>
      <c r="AR48" s="969"/>
      <c r="AS48" s="971"/>
      <c r="AT48" s="972"/>
      <c r="AU48" s="973"/>
      <c r="AV48" s="974"/>
      <c r="AW48" s="973"/>
      <c r="AX48" s="975"/>
      <c r="AY48" s="976"/>
      <c r="AZ48" s="977"/>
      <c r="BA48" s="978"/>
      <c r="BB48" s="979"/>
      <c r="BC48" s="980"/>
      <c r="BD48" s="981"/>
      <c r="BE48" s="981"/>
      <c r="BF48" s="982"/>
      <c r="BG48" s="983"/>
      <c r="BH48" s="984"/>
      <c r="BI48" s="985"/>
      <c r="BJ48" s="1429"/>
      <c r="BK48" s="987"/>
      <c r="BL48" s="986"/>
      <c r="BM48" s="988"/>
      <c r="BN48" s="966"/>
      <c r="BO48" s="989"/>
      <c r="BP48" s="990"/>
      <c r="BQ48" s="991"/>
      <c r="BR48" s="985"/>
      <c r="BS48" s="973"/>
      <c r="BT48" s="992"/>
      <c r="BU48" s="973"/>
      <c r="BV48" s="988"/>
      <c r="BW48" s="993"/>
      <c r="BX48" s="994"/>
      <c r="BY48" s="995"/>
      <c r="BZ48" s="982"/>
      <c r="CA48" s="996"/>
      <c r="CB48" s="27"/>
      <c r="CC48" s="997"/>
      <c r="CD48" s="956"/>
      <c r="CE48" s="145"/>
      <c r="CF48" s="145"/>
      <c r="CG48" s="998"/>
      <c r="CH48" s="145"/>
      <c r="CI48" s="1025"/>
      <c r="CJ48" s="145"/>
      <c r="CK48" s="1000"/>
      <c r="CL48" s="1001"/>
      <c r="CM48" s="1002"/>
      <c r="CN48" s="1001"/>
      <c r="CO48" s="1003"/>
      <c r="CP48" s="1000"/>
      <c r="CQ48" s="1001"/>
      <c r="CR48" s="1004"/>
      <c r="CS48" s="1001"/>
      <c r="CT48" s="1003"/>
      <c r="CU48" s="1005"/>
      <c r="CV48" s="1006"/>
      <c r="CW48" s="1007"/>
      <c r="CX48" s="1008"/>
      <c r="CY48" s="1007"/>
      <c r="CZ48" s="1008"/>
      <c r="DA48" s="1007"/>
      <c r="DB48" s="1008"/>
      <c r="DC48" s="1009"/>
      <c r="DD48" s="1010"/>
      <c r="DE48" s="1010"/>
      <c r="DF48" s="956"/>
      <c r="DG48" s="956"/>
      <c r="DH48" s="956"/>
      <c r="DI48" s="956"/>
      <c r="DJ48" s="956"/>
      <c r="DK48" s="956"/>
      <c r="DL48" s="982"/>
      <c r="DM48" s="1001"/>
      <c r="DN48" s="1011"/>
      <c r="DO48" s="145"/>
      <c r="DP48" s="1026"/>
      <c r="DQ48" s="1011"/>
      <c r="DR48" s="1003"/>
      <c r="DS48" s="1013"/>
      <c r="DT48" s="1014"/>
      <c r="DU48" s="1015"/>
      <c r="DV48" s="976"/>
      <c r="DW48" s="1016"/>
      <c r="DX48" s="1017"/>
      <c r="DY48" s="1018"/>
      <c r="DZ48" s="972"/>
      <c r="EA48" s="974"/>
      <c r="EB48" s="974"/>
      <c r="EC48" s="974"/>
      <c r="ED48" s="1019"/>
      <c r="EE48" s="974"/>
      <c r="EF48" s="1020"/>
      <c r="EG48" s="972"/>
      <c r="EH48" s="974"/>
      <c r="EI48" s="974"/>
      <c r="EJ48" s="974"/>
      <c r="EK48" s="1019"/>
      <c r="EL48" s="145"/>
      <c r="EM48" s="1000"/>
      <c r="EN48" s="1022"/>
      <c r="EO48" s="976"/>
    </row>
    <row r="49" spans="1:174" s="1031" customFormat="1" ht="11.25" customHeight="1" x14ac:dyDescent="0.2">
      <c r="A49" s="941"/>
      <c r="B49" s="942"/>
      <c r="C49" s="145"/>
      <c r="D49" s="145"/>
      <c r="E49" s="250"/>
      <c r="F49" s="145"/>
      <c r="G49" s="943"/>
      <c r="H49" s="944"/>
      <c r="I49" s="943"/>
      <c r="J49" s="944"/>
      <c r="K49" s="250"/>
      <c r="L49" s="945"/>
      <c r="M49" s="946"/>
      <c r="N49" s="947"/>
      <c r="O49" s="948"/>
      <c r="P49" s="250"/>
      <c r="Q49" s="949"/>
      <c r="R49" s="250"/>
      <c r="S49" s="250"/>
      <c r="T49" s="951"/>
      <c r="U49" s="952"/>
      <c r="V49" s="953"/>
      <c r="W49" s="954"/>
      <c r="X49" s="762"/>
      <c r="Y49" s="955"/>
      <c r="Z49" s="955"/>
      <c r="AA49" s="956"/>
      <c r="AB49" s="1027"/>
      <c r="AC49" s="958"/>
      <c r="AD49" s="959"/>
      <c r="AE49" s="960"/>
      <c r="AF49" s="961"/>
      <c r="AG49" s="962"/>
      <c r="AH49" s="963"/>
      <c r="AI49" s="964"/>
      <c r="AJ49" s="962"/>
      <c r="AK49" s="964"/>
      <c r="AL49" s="965"/>
      <c r="AM49" s="966"/>
      <c r="AN49" s="967"/>
      <c r="AO49" s="968"/>
      <c r="AP49" s="969"/>
      <c r="AQ49" s="970"/>
      <c r="AR49" s="1028"/>
      <c r="AS49" s="971"/>
      <c r="AT49" s="972"/>
      <c r="AU49" s="973"/>
      <c r="AV49" s="974"/>
      <c r="AW49" s="973"/>
      <c r="AX49" s="1029"/>
      <c r="AY49" s="976"/>
      <c r="AZ49" s="1030"/>
      <c r="BA49" s="978"/>
      <c r="BB49" s="979"/>
      <c r="BC49" s="980"/>
      <c r="BD49" s="981"/>
      <c r="BE49" s="981"/>
      <c r="BF49" s="982"/>
      <c r="BG49" s="990"/>
      <c r="BH49" s="984"/>
      <c r="BI49" s="985"/>
      <c r="BJ49" s="1429"/>
      <c r="BK49" s="987"/>
      <c r="BL49" s="986"/>
      <c r="BM49" s="988"/>
      <c r="BN49" s="966"/>
      <c r="BO49" s="989"/>
      <c r="BP49" s="990"/>
      <c r="BQ49" s="991"/>
      <c r="BR49" s="985"/>
      <c r="BS49" s="973"/>
      <c r="BT49" s="992"/>
      <c r="BU49" s="973"/>
      <c r="BV49" s="988"/>
      <c r="BW49" s="993"/>
      <c r="BX49" s="994"/>
      <c r="BY49" s="995"/>
      <c r="BZ49" s="982"/>
      <c r="CA49" s="996"/>
      <c r="CB49" s="27"/>
      <c r="CC49" s="997"/>
      <c r="CD49" s="956"/>
      <c r="CE49" s="145"/>
      <c r="CF49" s="145"/>
      <c r="CG49" s="998"/>
      <c r="CH49" s="145"/>
      <c r="CI49" s="1025"/>
      <c r="CJ49" s="145"/>
      <c r="CK49" s="1000"/>
      <c r="CL49" s="1001"/>
      <c r="CM49" s="1002"/>
      <c r="CN49" s="1001"/>
      <c r="CO49" s="1003"/>
      <c r="CP49" s="1000"/>
      <c r="CQ49" s="1001"/>
      <c r="CR49" s="1011"/>
      <c r="CS49" s="1001"/>
      <c r="CT49" s="1003"/>
      <c r="CU49" s="1005"/>
      <c r="CV49" s="1006"/>
      <c r="CW49" s="1007"/>
      <c r="CX49" s="1008"/>
      <c r="CY49" s="1007"/>
      <c r="CZ49" s="1008"/>
      <c r="DA49" s="1007"/>
      <c r="DB49" s="1008"/>
      <c r="DC49" s="1009"/>
      <c r="DD49" s="1010"/>
      <c r="DE49" s="1010"/>
      <c r="DF49" s="956"/>
      <c r="DG49" s="956"/>
      <c r="DH49" s="956"/>
      <c r="DI49" s="956"/>
      <c r="DJ49" s="956"/>
      <c r="DK49" s="956"/>
      <c r="DL49" s="982"/>
      <c r="DM49" s="1001"/>
      <c r="DN49" s="1011"/>
      <c r="DO49" s="145"/>
      <c r="DP49" s="1026"/>
      <c r="DQ49" s="1011"/>
      <c r="DR49" s="1003"/>
      <c r="DS49" s="1013"/>
      <c r="DT49" s="1014"/>
      <c r="DU49" s="1015"/>
      <c r="DV49" s="976"/>
      <c r="DW49" s="1018"/>
      <c r="DX49" s="1017"/>
      <c r="DY49" s="1018"/>
      <c r="DZ49" s="972"/>
      <c r="EA49" s="974"/>
      <c r="EB49" s="974"/>
      <c r="EC49" s="974"/>
      <c r="ED49" s="1019"/>
      <c r="EE49" s="974"/>
      <c r="EF49" s="1020"/>
      <c r="EG49" s="972"/>
      <c r="EH49" s="974"/>
      <c r="EI49" s="974"/>
      <c r="EJ49" s="974"/>
      <c r="EK49" s="1019"/>
      <c r="EL49" s="145"/>
      <c r="EM49" s="1000"/>
      <c r="EN49" s="1022"/>
      <c r="EO49" s="976"/>
      <c r="EP49" s="1023"/>
      <c r="EQ49" s="1023"/>
      <c r="ER49" s="1023"/>
      <c r="ES49" s="1023"/>
      <c r="ET49" s="1023"/>
      <c r="EU49" s="1023"/>
      <c r="EV49" s="1023"/>
      <c r="EW49" s="1023"/>
      <c r="EX49" s="1023"/>
      <c r="EY49" s="1023"/>
      <c r="EZ49" s="1023"/>
      <c r="FA49" s="1023"/>
      <c r="FB49" s="1023"/>
      <c r="FC49" s="1023"/>
      <c r="FD49" s="1023"/>
      <c r="FE49" s="1023"/>
      <c r="FF49" s="1023"/>
      <c r="FG49" s="1023"/>
      <c r="FH49" s="1023"/>
      <c r="FI49" s="1023"/>
      <c r="FJ49" s="1023"/>
      <c r="FK49" s="1023"/>
      <c r="FL49" s="1023"/>
      <c r="FM49" s="1023"/>
      <c r="FN49" s="1023"/>
      <c r="FO49" s="1023"/>
      <c r="FP49" s="1023"/>
      <c r="FQ49" s="1023"/>
      <c r="FR49" s="1023"/>
    </row>
    <row r="50" spans="1:174" s="75" customFormat="1" ht="11.25" customHeight="1" x14ac:dyDescent="0.2">
      <c r="A50" s="100">
        <v>108</v>
      </c>
      <c r="B50" s="296">
        <v>100</v>
      </c>
      <c r="C50" s="31"/>
      <c r="D50" s="31" t="str">
        <f t="shared" ref="D50:D61" si="45">IF(F50="Nam","Ông","Bà")</f>
        <v>Bà</v>
      </c>
      <c r="E50" s="37" t="s">
        <v>333</v>
      </c>
      <c r="F50" s="31" t="s">
        <v>380</v>
      </c>
      <c r="G50" s="60" t="s">
        <v>280</v>
      </c>
      <c r="H50" s="508" t="s">
        <v>359</v>
      </c>
      <c r="I50" s="60" t="s">
        <v>341</v>
      </c>
      <c r="J50" s="508" t="s">
        <v>359</v>
      </c>
      <c r="K50" s="37">
        <v>1975</v>
      </c>
      <c r="L50" s="157" t="s">
        <v>451</v>
      </c>
      <c r="M50" s="526" t="str">
        <f t="shared" ref="M50:M61" si="46">IF(L50="công chức","CC",IF(L50="viên chức","VC",IF(L50="người lao động","NLĐ","- - -")))</f>
        <v>VC</v>
      </c>
      <c r="N50" s="163"/>
      <c r="O50" s="509" t="e">
        <f t="shared" ref="O50:O61" si="47">IF(AND((Q50+0)&gt;0.3,(Q50+0)&lt;1.5),"CVụ","- -")</f>
        <v>#N/A</v>
      </c>
      <c r="P50" s="37"/>
      <c r="Q50" s="296" t="e">
        <f>VLOOKUP(P50,'- DLiêu Gốc -'!$C$2:$H$115,2,0)</f>
        <v>#N/A</v>
      </c>
      <c r="R50" s="37" t="s">
        <v>64</v>
      </c>
      <c r="S50" s="37" t="s">
        <v>117</v>
      </c>
      <c r="T50" s="35" t="str">
        <f>VLOOKUP(Y50,'- DLiêu Gốc -'!$C$2:$H$60,5,0)</f>
        <v>A1</v>
      </c>
      <c r="U50" s="36" t="str">
        <f>VLOOKUP(Y50,'- DLiêu Gốc -'!$C$2:$H$60,6,0)</f>
        <v>- - -</v>
      </c>
      <c r="V50" s="537" t="s">
        <v>424</v>
      </c>
      <c r="W50" s="295" t="str">
        <f t="shared" ref="W50:W61" si="48">IF(OR(Y50="Kỹ thuật viên đánh máy",Y50="Nhân viên đánh máy",Y50="Nhân viên kỹ thuật",Y50="Nhân viên văn thư",Y50="Nhân viên phục vụ",Y50="Lái xe cơ quan",Y50="Nhân viên bảo vệ"),"Nhân viên",Y50)</f>
        <v>Giảng viên (hạng III)</v>
      </c>
      <c r="X50" s="298" t="str">
        <f t="shared" ref="X50:X61" si="49">IF(W50="Nhân viên","01.005",Z50)</f>
        <v>V.07.01.03</v>
      </c>
      <c r="Y50" s="317" t="s">
        <v>430</v>
      </c>
      <c r="Z50" s="317" t="str">
        <f>VLOOKUP(Y50,'- DLiêu Gốc -'!$C$1:$H$133,2,0)</f>
        <v>V.07.01.03</v>
      </c>
      <c r="AA50" s="48" t="str">
        <f t="shared" ref="AA50:AA61" si="50">IF(OR(AND(BC50=36,BB50=3),AND(BC50=24,BB50=2),AND(BC50=12,BB50=1)),"Đến $",IF(OR(AND(BC50&gt;36,BB50=3),AND(BC50&gt;24,BB50=2),AND(BC50&gt;12,BB50=1)),"Dừng $","Lương"))</f>
        <v>Lương</v>
      </c>
      <c r="AB50" s="522">
        <v>5</v>
      </c>
      <c r="AC50" s="407" t="str">
        <f>IF(AD50&gt;0,"/")</f>
        <v>/</v>
      </c>
      <c r="AD50" s="39">
        <f>IF(OR(BE50=0.18,BE50=0.2),12,IF(BE50=0.31,10,IF(BE50=0.33,9,IF(BE50=0.34,8,IF(BE50=0.36,6)))))</f>
        <v>9</v>
      </c>
      <c r="AE50" s="40">
        <f t="shared" ref="AE50:AE58" si="51">BD50+(AB50-1)*BE50</f>
        <v>3.66</v>
      </c>
      <c r="AF50" s="329"/>
      <c r="AG50" s="102"/>
      <c r="AH50" s="44" t="s">
        <v>341</v>
      </c>
      <c r="AI50" s="405" t="s">
        <v>359</v>
      </c>
      <c r="AJ50" s="102" t="s">
        <v>346</v>
      </c>
      <c r="AK50" s="405" t="s">
        <v>359</v>
      </c>
      <c r="AL50" s="433">
        <v>2015</v>
      </c>
      <c r="AM50" s="126"/>
      <c r="AN50" s="49"/>
      <c r="AO50" s="249">
        <f t="shared" ref="AO50:AO61" si="52">AB50+1</f>
        <v>6</v>
      </c>
      <c r="AP50" s="185" t="str">
        <f t="shared" ref="AP50:AP61" si="53">IF(AD50=AB50,"%",IF(AD50&gt;AB50,"/"))</f>
        <v>/</v>
      </c>
      <c r="AQ50" s="80">
        <f t="shared" ref="AQ50:AQ61" si="54">IF(AND(AD50=AB50,AO50=4),5,IF(AND(AD50=AB50,AO50&gt;4),AO50+1,IF(AD50&gt;AB50,AD50)))</f>
        <v>9</v>
      </c>
      <c r="AR50" s="185">
        <f t="shared" ref="AR50:AR61" si="55">IF(AD50=AB50,"%",IF(AD50&gt;AB50,AE50+BE50))</f>
        <v>3.99</v>
      </c>
      <c r="AS50" s="333"/>
      <c r="AT50" s="44" t="s">
        <v>341</v>
      </c>
      <c r="AU50" s="395" t="s">
        <v>359</v>
      </c>
      <c r="AV50" s="45" t="s">
        <v>346</v>
      </c>
      <c r="AW50" s="395" t="s">
        <v>359</v>
      </c>
      <c r="AX50" s="46">
        <v>2018</v>
      </c>
      <c r="AY50" s="84"/>
      <c r="AZ50" s="191"/>
      <c r="BA50" s="392">
        <v>3.18</v>
      </c>
      <c r="BB50" s="47">
        <f t="shared" ref="BB50:BB61" si="56">IF(AND(AD50&gt;AB50,OR(BE50=0.18,BE50=0.2)),2,IF(AND(AD50&gt;AB50,OR(BE50=0.31,BE50=0.33,BE50=0.34,BE50=0.36)),3,IF(AD50=AB50,1)))</f>
        <v>3</v>
      </c>
      <c r="BC50" s="253">
        <f t="shared" ref="BC50:BC61" si="57">12*($AA$2-AX50)+($AA$3-AV50)-AM50</f>
        <v>-24219</v>
      </c>
      <c r="BD50" s="205">
        <f>VLOOKUP(Y50,'- DLiêu Gốc -'!$C$1:$F$60,3,0)</f>
        <v>2.34</v>
      </c>
      <c r="BE50" s="205">
        <f>VLOOKUP(Y50,'- DLiêu Gốc -'!$C$1:$F$60,4,0)</f>
        <v>0.33</v>
      </c>
      <c r="BF50" s="53" t="str">
        <f t="shared" ref="BF50:BF61" si="58">IF(AND(BG50&gt;3,BY50=12),"Đến %",IF(AND(BG50&gt;3,BY50&gt;12,BY50&lt;120),"Dừng %",IF(AND(BG50&gt;3,BY50&lt;12),"PCTN","o-o-o")))</f>
        <v>PCTN</v>
      </c>
      <c r="BG50" s="54">
        <v>17</v>
      </c>
      <c r="BH50" s="343" t="s">
        <v>332</v>
      </c>
      <c r="BI50" s="56" t="s">
        <v>341</v>
      </c>
      <c r="BJ50" s="400" t="s">
        <v>359</v>
      </c>
      <c r="BK50" s="341" t="s">
        <v>341</v>
      </c>
      <c r="BL50" s="400" t="s">
        <v>359</v>
      </c>
      <c r="BM50" s="178">
        <v>2020</v>
      </c>
      <c r="BN50" s="126"/>
      <c r="BO50" s="58"/>
      <c r="BP50" s="55">
        <f t="shared" ref="BP50:BP61" si="59">IF(BG50&gt;3,BG50+1,0)</f>
        <v>18</v>
      </c>
      <c r="BQ50" s="346" t="s">
        <v>332</v>
      </c>
      <c r="BR50" s="56" t="s">
        <v>341</v>
      </c>
      <c r="BS50" s="395" t="s">
        <v>359</v>
      </c>
      <c r="BT50" s="339" t="s">
        <v>341</v>
      </c>
      <c r="BU50" s="395" t="s">
        <v>359</v>
      </c>
      <c r="BV50" s="46">
        <v>2021</v>
      </c>
      <c r="BW50" s="57"/>
      <c r="BX50" s="125">
        <v>1</v>
      </c>
      <c r="BY50" s="254">
        <f t="shared" ref="BY50:BY61" si="60">IF(BG50&gt;3,(($BF$2-BV50)*12+($BF$3-BT50)-BN50),"- - -")</f>
        <v>-24253</v>
      </c>
      <c r="BZ50" s="53" t="str">
        <f t="shared" ref="BZ50:BZ61" si="61">IF(AND(CV50="Hưu",BG50&gt;3),12-(12*(DB50-BV50)+(DA50-BT50))-BN50,"- - -")</f>
        <v>- - -</v>
      </c>
      <c r="CA50" s="316" t="str">
        <f t="shared" ref="CA50:CA61" si="62">IF(OR(S50="Ban Tổ chức - Cán bộ",S50="Văn phòng Học viện",S50="Phó Giám đốc Thường trực Học viện",S50="Phó Giám đốc Học viện"),"Chánh Văn phòng Học viện, Trưởng Ban Tổ chức - Cán bộ",IF(OR(S50="Trung tâm Ngoại ngữ",S50="Trung tâm Tin học hành chính và Công nghệ thông tin",S50="Trung tâm Tin học - Thư viện",S50="Phân viện khu vực Tây Nguyên"),"Chánh Văn phòng Học viện, Trưởng Ban Tổ chức - Cán bộ, "&amp;CONCATENATE("Giám đốc ",S50),IF(S50="Tạp chí Quản lý nhà nước","Chánh Văn phòng Học viện, Trưởng Ban Tổ chức - Cán bộ, "&amp;CONCATENATE("Tổng Biên tập ",S50),IF(S50="Văn phòng Đảng uỷ Học viện","Chánh Văn phòng Học viện, Trưởng Ban Tổ chức - Cán bộ, "&amp;CONCATENATE("Chánh",S50),IF(S50="Viện Nghiên cứu Khoa học hành chính","Chánh Văn phòng Học viện, Trưởng Ban Tổ chức - Cán bộ, "&amp;CONCATENATE("Viện Trưởng ",S50),IF(OR(S50="Cơ sở Học viện Hành chính Quốc gia khu vực miền Trung",S50="Cơ sở Học viện Hành chính Quốc gia tại Thành phố Hồ Chí Minh"),"Chánh Văn phòng Học viện, Trưởng Ban Tổ chức - Cán bộ, "&amp;CONCATENATE("Thủ trưởng ",S50),"Chánh Văn phòng Học viện, Trưởng Ban Tổ chức - Cán bộ, "&amp;CONCATENATE("Trưởng ",S50)))))))</f>
        <v>Chánh Văn phòng Học viện, Trưởng Ban Tổ chức - Cán bộ, Trưởng Ban Hợp tác quốc tế</v>
      </c>
      <c r="CB50" s="59" t="str">
        <f t="shared" ref="CB50:CB61" si="63">IF(S50="Cơ sở Học viện Hành chính khu vực miền Trung","B",IF(S50="Phân viện Khu vực Tây Nguyên","C",IF(S50="Cơ sở Học viện Hành chính tại thành phố Hồ Chí Minh","D","A")))</f>
        <v>A</v>
      </c>
      <c r="CC50" s="38" t="str">
        <f t="shared" ref="CC50:CC61" si="64">IF(AND(AO50&gt;0,AB50&lt;(AD50-1),CD50&gt;0,CD50&lt;13,OR(AND(CJ50="Cùg Ng",($CC$2-CF50)&gt;BB50),CJ50="- - -")),"Sớm TT","=&gt; s")</f>
        <v>=&gt; s</v>
      </c>
      <c r="CD50" s="48">
        <f t="shared" ref="CD50:CD61" si="65">IF(BB50=3,36-(12*($CC$2-AX50)+(12-AV50)-AM50),IF(BB50=2,24-(12*($CC$2-AX50)+(12-AV50)-AM50),"---"))</f>
        <v>24243</v>
      </c>
      <c r="CE50" s="31" t="str">
        <f t="shared" ref="CE50:CE61" si="66">IF(CF50&gt;1,"S","---")</f>
        <v>---</v>
      </c>
      <c r="CF50" s="31"/>
      <c r="CG50" s="303"/>
      <c r="CH50" s="31"/>
      <c r="CI50" s="31"/>
      <c r="CJ50" s="31" t="str">
        <f t="shared" ref="CJ50:CJ61" si="67">IF(X50=CG50,"Cùg Ng","- - -")</f>
        <v>- - -</v>
      </c>
      <c r="CK50" s="51" t="str">
        <f t="shared" ref="CK50:CK61" si="68">IF(CM50&gt;2000,"NN","- - -")</f>
        <v>- - -</v>
      </c>
      <c r="CL50" s="61"/>
      <c r="CM50" s="62"/>
      <c r="CN50" s="61"/>
      <c r="CO50" s="76"/>
      <c r="CP50" s="51" t="str">
        <f t="shared" ref="CP50:CP61" si="69">IF(CR50&gt;2000,"CN","- - -")</f>
        <v>- - -</v>
      </c>
      <c r="CQ50" s="61"/>
      <c r="CR50" s="146"/>
      <c r="CS50" s="61"/>
      <c r="CT50" s="76"/>
      <c r="CU50" s="65" t="str">
        <f t="shared" ref="CU50:CU61" si="70">IF(AND(CV50="Hưu",AB50&lt;(AD50-1),DC50&gt;0,DC50&lt;18,OR(BG50&lt;4,AND(BG50&gt;3,OR(BZ50&lt;3,BZ50&gt;5)))),"Lg Sớm",IF(AND(CV50="Hưu",AB50&gt;(AD50-2),OR(BE50=0.33,BE50=0.34),OR(BG50&lt;4,AND(BG50&gt;3,OR(BZ50&lt;3,BZ50&gt;5)))),"Nâng Ngạch",IF(AND(CV50="Hưu",BB50=1,DC50&gt;2,DC50&lt;6,OR(BG50&lt;4,AND(BG50&gt;3,OR(BZ50&lt;3,BZ50&gt;5)))),"Nâng PcVK cùng QĐ",IF(AND(CV50="Hưu",BG50&gt;3,BZ50&gt;2,BZ50&lt;6,AB50&lt;(AD50-1),DC50&gt;17,OR(BB50&gt;1,AND(BB50=1,OR(DC50&lt;3,DC50&gt;5)))),"Nâng PcNG cùng QĐ",IF(AND(CV50="Hưu",AB50&lt;(AD50-1),DC50&gt;0,DC50&lt;18,BG50&gt;3,BZ50&gt;2,BZ50&lt;6),"Nâng Lg Sớm +(PcNG cùng QĐ)",IF(AND(CV50="Hưu",AB50&gt;(AD50-2),OR(BE50=0.33,BE50=0.34),BG50&gt;3,BZ50&gt;2,BZ50&lt;6),"Nâng Ngạch +(PcNG cùng QĐ)",IF(AND(CV50="Hưu",BB50=1,DC50&gt;2,DC50&lt;6,BG50&gt;3,BZ50&gt;2,BZ50&lt;6),"Nâng (PcVK +PcNG) cùng QĐ",("---"))))))))</f>
        <v>---</v>
      </c>
      <c r="CV50" s="66" t="str">
        <f t="shared" ref="CV50:CV61" si="71">IF(AND(DG50&gt;DF50,DG50&lt;(DF50+13)),"Hưu",IF(AND(DG50&gt;(DF50+12),DG50&lt;1000),"Quá","/-/ /-/"))</f>
        <v>/-/ /-/</v>
      </c>
      <c r="CW50" s="63">
        <f t="shared" ref="CW50:CW61" si="72">IF((I50+0)&lt;12,(I50+0)+1,IF((I50+0)=12,1,IF((I50+0)&gt;12,(I50+0)-12)))</f>
        <v>2</v>
      </c>
      <c r="CX50" s="64">
        <f t="shared" ref="CX50:CX61" si="73">IF(OR((I50+0)=12,(I50+0)&gt;12),K50+DF50/12+1,IF(AND((I50+0)&gt;0,(I50+0)&lt;12),K50+DF50/12,"---"))</f>
        <v>2030</v>
      </c>
      <c r="CY50" s="63">
        <f t="shared" ref="CY50:CY61" si="74">IF(AND(CW50&gt;3,CW50&lt;13),CW50-3,IF(CW50&lt;4,CW50-3+12))</f>
        <v>11</v>
      </c>
      <c r="CZ50" s="64">
        <f t="shared" ref="CZ50:CZ61" si="75">IF(CY50&lt;CW50,CX50,IF(CY50&gt;CW50,CX50-1))</f>
        <v>2029</v>
      </c>
      <c r="DA50" s="63">
        <f t="shared" ref="DA50:DA61" si="76">IF(CW50&gt;6,CW50-6,IF(CW50=6,12,IF(CW50&lt;6,CW50+6)))</f>
        <v>8</v>
      </c>
      <c r="DB50" s="64">
        <f t="shared" ref="DB50:DB61" si="77">IF(CW50&gt;6,CX50,IF(CW50&lt;7,CX50-1))</f>
        <v>2029</v>
      </c>
      <c r="DC50" s="67" t="str">
        <f t="shared" ref="DC50:DC61" si="78">IF(AND(CV50="Hưu",BB50=3),36+AM50-(12*(DB50-AX50)+(DA50-AV50)),IF(AND(CV50="Hưu",BB50=2),24+AM50-(12*(DB50-AX50)+(DA50-AV50)),IF(AND(CV50="Hưu",BB50=1),12+AM50-(12*(DB50-AX50)+(DA50-AV50)),"- - -")))</f>
        <v>- - -</v>
      </c>
      <c r="DD50" s="68" t="str">
        <f t="shared" ref="DD50:DD61" si="79">IF(DE50&gt;0,"K.Dài",". .")</f>
        <v>. .</v>
      </c>
      <c r="DE50" s="68"/>
      <c r="DF50" s="48">
        <f t="shared" ref="DF50:DF61" si="80">IF(F50="Nam",(60+DE50)*12,IF(F50="Nữ",(55+DE50)*12,))</f>
        <v>660</v>
      </c>
      <c r="DG50" s="48">
        <f t="shared" ref="DG50:DG61" si="81">12*($CV$4-K50)+(12-I50)</f>
        <v>-23689</v>
      </c>
      <c r="DH50" s="48">
        <f t="shared" ref="DH50:DH61" si="82">$DL$4-K50</f>
        <v>-1975</v>
      </c>
      <c r="DI50" s="48" t="str">
        <f t="shared" ref="DI50:DI61" si="83">IF(AND(DH50&lt;35,F50="Nam"),"Nam dưới 35",IF(AND(DH50&lt;30,F50="Nữ"),"Nữ dưới 30",IF(AND(DH50&gt;34,DH50&lt;46,F50="Nam"),"Nam từ 35 - 45",IF(AND(DH50&gt;29,DH50&lt;41,F50="Nữ"),"Nữ từ 30 - 40",IF(AND(DH50&gt;45,DH50&lt;56,F50="Nam"),"Nam trên 45 - 55",IF(AND(DH50&gt;40,DH50&lt;51,F50="Nữ"),"Nữ trên 40 - 50",IF(AND(DH50&gt;55,F50="Nam"),"Nam trên 55","Nữ trên 50")))))))</f>
        <v>Nữ dưới 30</v>
      </c>
      <c r="DJ50" s="48"/>
      <c r="DK50" s="48"/>
      <c r="DL50" s="53" t="str">
        <f t="shared" ref="DL50:DL61" si="84">IF(DH50&lt;31,"Đến 30",IF(AND(DH50&gt;30,DH50&lt;46),"31 - 45",IF(AND(DH50&gt;45,DH50&lt;70),"Trên 45")))</f>
        <v>Đến 30</v>
      </c>
      <c r="DM50" s="61" t="str">
        <f t="shared" ref="DM50:DM57" si="85">IF(DN50&gt;0,"TD","--")</f>
        <v>--</v>
      </c>
      <c r="DN50" s="32"/>
      <c r="DO50" s="82"/>
      <c r="DP50" s="69"/>
      <c r="DQ50" s="32"/>
      <c r="DR50" s="32"/>
      <c r="DS50" s="70"/>
      <c r="DT50" s="37"/>
      <c r="DU50" s="71"/>
      <c r="DV50" s="84"/>
      <c r="DW50" s="518"/>
      <c r="DX50" s="315" t="s">
        <v>108</v>
      </c>
      <c r="DY50" s="85"/>
      <c r="DZ50" s="44" t="s">
        <v>341</v>
      </c>
      <c r="EA50" s="45" t="s">
        <v>359</v>
      </c>
      <c r="EB50" s="45" t="s">
        <v>346</v>
      </c>
      <c r="EC50" s="45" t="s">
        <v>359</v>
      </c>
      <c r="ED50" s="72" t="s">
        <v>377</v>
      </c>
      <c r="EE50" s="45">
        <f t="shared" ref="EE50:EE61" si="86">(DZ50+0)-(EG50+0)</f>
        <v>0</v>
      </c>
      <c r="EF50" s="73" t="str">
        <f t="shared" ref="EF50:EF61" si="87">IF(EE50&gt;0,"Sửa","- - -")</f>
        <v>- - -</v>
      </c>
      <c r="EG50" s="44" t="s">
        <v>341</v>
      </c>
      <c r="EH50" s="45" t="s">
        <v>359</v>
      </c>
      <c r="EI50" s="45" t="s">
        <v>346</v>
      </c>
      <c r="EJ50" s="45" t="s">
        <v>359</v>
      </c>
      <c r="EK50" s="72" t="s">
        <v>377</v>
      </c>
      <c r="EL50" s="31"/>
      <c r="EM50" s="51" t="str">
        <f t="shared" ref="EM50:EM61" si="88">IF(AND(BE50&gt;0.34,AO50=1,OR(BD50=6.2,BD50=5.75)),((BD50-EL50)-2*0.34),IF(AND(BE50&gt;0.33,AO50=1,OR(BD50=4.4,BD50=4)),((BD50-EL50)-2*0.33),"- - -"))</f>
        <v>- - -</v>
      </c>
      <c r="EN50" s="74" t="str">
        <f t="shared" ref="EN50:EN61" si="89">IF(CV50="Hưu",12*(DB50-AX50)+(DA50-AV50),"---")</f>
        <v>---</v>
      </c>
      <c r="EO50" s="84"/>
      <c r="FM50" s="171"/>
    </row>
    <row r="51" spans="1:174" s="75" customFormat="1" ht="11.25" customHeight="1" x14ac:dyDescent="0.2">
      <c r="A51" s="100">
        <v>192</v>
      </c>
      <c r="B51" s="296">
        <v>212</v>
      </c>
      <c r="C51" s="31"/>
      <c r="D51" s="31" t="str">
        <f t="shared" si="45"/>
        <v>Bà</v>
      </c>
      <c r="E51" s="37" t="s">
        <v>28</v>
      </c>
      <c r="F51" s="31" t="s">
        <v>380</v>
      </c>
      <c r="G51" s="60" t="s">
        <v>327</v>
      </c>
      <c r="H51" s="508" t="s">
        <v>359</v>
      </c>
      <c r="I51" s="60" t="s">
        <v>371</v>
      </c>
      <c r="J51" s="508" t="s">
        <v>359</v>
      </c>
      <c r="K51" s="37" t="s">
        <v>308</v>
      </c>
      <c r="L51" s="157" t="s">
        <v>451</v>
      </c>
      <c r="M51" s="526" t="str">
        <f t="shared" si="46"/>
        <v>VC</v>
      </c>
      <c r="N51" s="163"/>
      <c r="O51" s="509" t="e">
        <f t="shared" si="47"/>
        <v>#N/A</v>
      </c>
      <c r="P51" s="37"/>
      <c r="Q51" s="296" t="e">
        <f>VLOOKUP(P51,'- DLiêu Gốc -'!$C$2:$H$115,2,0)</f>
        <v>#N/A</v>
      </c>
      <c r="R51" s="37" t="s">
        <v>129</v>
      </c>
      <c r="S51" s="37" t="s">
        <v>562</v>
      </c>
      <c r="T51" s="35" t="str">
        <f>VLOOKUP(Y51,'- DLiêu Gốc -'!$C$2:$H$60,5,0)</f>
        <v>A1</v>
      </c>
      <c r="U51" s="36" t="str">
        <f>VLOOKUP(Y51,'- DLiêu Gốc -'!$C$2:$H$60,6,0)</f>
        <v>- - -</v>
      </c>
      <c r="V51" s="537" t="s">
        <v>424</v>
      </c>
      <c r="W51" s="295" t="str">
        <f t="shared" si="48"/>
        <v>Giảng viên (hạng III)</v>
      </c>
      <c r="X51" s="298" t="str">
        <f t="shared" si="49"/>
        <v>V.07.01.03</v>
      </c>
      <c r="Y51" s="317" t="s">
        <v>430</v>
      </c>
      <c r="Z51" s="317" t="str">
        <f>VLOOKUP(Y51,'- DLiêu Gốc -'!$C$1:$H$133,2,0)</f>
        <v>V.07.01.03</v>
      </c>
      <c r="AA51" s="48" t="str">
        <f t="shared" si="50"/>
        <v>Lương</v>
      </c>
      <c r="AB51" s="522">
        <v>7</v>
      </c>
      <c r="AC51" s="407" t="s">
        <v>359</v>
      </c>
      <c r="AD51" s="39">
        <v>9</v>
      </c>
      <c r="AE51" s="40">
        <f t="shared" si="51"/>
        <v>4.32</v>
      </c>
      <c r="AF51" s="329"/>
      <c r="AG51" s="102"/>
      <c r="AH51" s="396"/>
      <c r="AI51" s="405" t="s">
        <v>359</v>
      </c>
      <c r="AJ51" s="102"/>
      <c r="AK51" s="405" t="s">
        <v>359</v>
      </c>
      <c r="AL51" s="406"/>
      <c r="AM51" s="126"/>
      <c r="AN51" s="49"/>
      <c r="AO51" s="249">
        <f t="shared" si="52"/>
        <v>8</v>
      </c>
      <c r="AP51" s="185" t="str">
        <f t="shared" si="53"/>
        <v>/</v>
      </c>
      <c r="AQ51" s="80">
        <f t="shared" si="54"/>
        <v>9</v>
      </c>
      <c r="AR51" s="185">
        <f t="shared" si="55"/>
        <v>4.6500000000000004</v>
      </c>
      <c r="AS51" s="333"/>
      <c r="AT51" s="44" t="s">
        <v>341</v>
      </c>
      <c r="AU51" s="395" t="s">
        <v>359</v>
      </c>
      <c r="AV51" s="45" t="s">
        <v>370</v>
      </c>
      <c r="AW51" s="395" t="s">
        <v>359</v>
      </c>
      <c r="AX51" s="46">
        <v>2020</v>
      </c>
      <c r="AY51" s="84"/>
      <c r="AZ51" s="191" t="s">
        <v>610</v>
      </c>
      <c r="BA51" s="392"/>
      <c r="BB51" s="47">
        <f t="shared" si="56"/>
        <v>3</v>
      </c>
      <c r="BC51" s="253">
        <f t="shared" si="57"/>
        <v>-24250</v>
      </c>
      <c r="BD51" s="205">
        <f>VLOOKUP(Y51,'- DLiêu Gốc -'!$C$1:$F$60,3,0)</f>
        <v>2.34</v>
      </c>
      <c r="BE51" s="205">
        <f>VLOOKUP(Y51,'- DLiêu Gốc -'!$C$1:$F$60,4,0)</f>
        <v>0.33</v>
      </c>
      <c r="BF51" s="53" t="str">
        <f t="shared" si="58"/>
        <v>PCTN</v>
      </c>
      <c r="BG51" s="54">
        <v>10</v>
      </c>
      <c r="BH51" s="343" t="s">
        <v>332</v>
      </c>
      <c r="BI51" s="56" t="s">
        <v>341</v>
      </c>
      <c r="BJ51" s="400" t="s">
        <v>359</v>
      </c>
      <c r="BK51" s="341" t="s">
        <v>341</v>
      </c>
      <c r="BL51" s="400" t="s">
        <v>359</v>
      </c>
      <c r="BM51" s="178">
        <v>2020</v>
      </c>
      <c r="BN51" s="126"/>
      <c r="BO51" s="58"/>
      <c r="BP51" s="55">
        <f t="shared" si="59"/>
        <v>11</v>
      </c>
      <c r="BQ51" s="346" t="s">
        <v>332</v>
      </c>
      <c r="BR51" s="56" t="s">
        <v>341</v>
      </c>
      <c r="BS51" s="395"/>
      <c r="BT51" s="339" t="s">
        <v>341</v>
      </c>
      <c r="BU51" s="395"/>
      <c r="BV51" s="46">
        <v>2021</v>
      </c>
      <c r="BW51" s="57"/>
      <c r="BX51" s="125">
        <v>1</v>
      </c>
      <c r="BY51" s="254">
        <f t="shared" si="60"/>
        <v>-24253</v>
      </c>
      <c r="BZ51" s="53" t="str">
        <f t="shared" si="61"/>
        <v>- - -</v>
      </c>
      <c r="CA51" s="316" t="str">
        <f t="shared" si="62"/>
        <v>Chánh Văn phòng Học viện, Trưởng Ban Tổ chức - Cán bộ, Trưởng Khoa Nhà nước - Pháp luật và Lý luận cơ sở</v>
      </c>
      <c r="CB51" s="59" t="str">
        <f t="shared" si="63"/>
        <v>A</v>
      </c>
      <c r="CC51" s="38" t="str">
        <f t="shared" si="64"/>
        <v>=&gt; s</v>
      </c>
      <c r="CD51" s="48">
        <f t="shared" si="65"/>
        <v>24274</v>
      </c>
      <c r="CE51" s="31" t="str">
        <f t="shared" si="66"/>
        <v>S</v>
      </c>
      <c r="CF51" s="31">
        <v>2017</v>
      </c>
      <c r="CG51" s="303" t="s">
        <v>426</v>
      </c>
      <c r="CH51" s="31"/>
      <c r="CI51" s="105"/>
      <c r="CJ51" s="31" t="str">
        <f t="shared" si="67"/>
        <v>Cùg Ng</v>
      </c>
      <c r="CK51" s="51" t="str">
        <f t="shared" si="68"/>
        <v>- - -</v>
      </c>
      <c r="CL51" s="61"/>
      <c r="CM51" s="62"/>
      <c r="CN51" s="61"/>
      <c r="CO51" s="76"/>
      <c r="CP51" s="51" t="str">
        <f t="shared" si="69"/>
        <v>- - -</v>
      </c>
      <c r="CQ51" s="61"/>
      <c r="CR51" s="146"/>
      <c r="CS51" s="61"/>
      <c r="CT51" s="76"/>
      <c r="CU51" s="65" t="str">
        <f t="shared" si="70"/>
        <v>---</v>
      </c>
      <c r="CV51" s="66" t="str">
        <f t="shared" si="71"/>
        <v>/-/ /-/</v>
      </c>
      <c r="CW51" s="63">
        <f t="shared" si="72"/>
        <v>12</v>
      </c>
      <c r="CX51" s="64">
        <f t="shared" si="73"/>
        <v>2032</v>
      </c>
      <c r="CY51" s="63">
        <f t="shared" si="74"/>
        <v>9</v>
      </c>
      <c r="CZ51" s="64">
        <f t="shared" si="75"/>
        <v>2032</v>
      </c>
      <c r="DA51" s="63">
        <f t="shared" si="76"/>
        <v>6</v>
      </c>
      <c r="DB51" s="64">
        <f t="shared" si="77"/>
        <v>2032</v>
      </c>
      <c r="DC51" s="67" t="str">
        <f t="shared" si="78"/>
        <v>- - -</v>
      </c>
      <c r="DD51" s="68" t="str">
        <f t="shared" si="79"/>
        <v>. .</v>
      </c>
      <c r="DE51" s="68"/>
      <c r="DF51" s="48">
        <f t="shared" si="80"/>
        <v>660</v>
      </c>
      <c r="DG51" s="48">
        <f t="shared" si="81"/>
        <v>-23723</v>
      </c>
      <c r="DH51" s="48">
        <f t="shared" si="82"/>
        <v>-1977</v>
      </c>
      <c r="DI51" s="48" t="str">
        <f t="shared" si="83"/>
        <v>Nữ dưới 30</v>
      </c>
      <c r="DJ51" s="48"/>
      <c r="DK51" s="48"/>
      <c r="DL51" s="53" t="str">
        <f t="shared" si="84"/>
        <v>Đến 30</v>
      </c>
      <c r="DM51" s="61" t="str">
        <f t="shared" si="85"/>
        <v>TD</v>
      </c>
      <c r="DN51" s="32">
        <v>2008</v>
      </c>
      <c r="DO51" s="31"/>
      <c r="DP51" s="69"/>
      <c r="DQ51" s="32"/>
      <c r="DR51" s="76"/>
      <c r="DS51" s="77"/>
      <c r="DT51" s="78"/>
      <c r="DU51" s="71"/>
      <c r="DV51" s="84"/>
      <c r="DW51" s="517" t="s">
        <v>129</v>
      </c>
      <c r="DX51" s="315" t="s">
        <v>110</v>
      </c>
      <c r="DY51" s="33" t="s">
        <v>129</v>
      </c>
      <c r="DZ51" s="44" t="s">
        <v>341</v>
      </c>
      <c r="EA51" s="45" t="s">
        <v>359</v>
      </c>
      <c r="EB51" s="45" t="s">
        <v>376</v>
      </c>
      <c r="EC51" s="45" t="s">
        <v>359</v>
      </c>
      <c r="ED51" s="72">
        <v>2012</v>
      </c>
      <c r="EE51" s="45">
        <f t="shared" si="86"/>
        <v>0</v>
      </c>
      <c r="EF51" s="73" t="str">
        <f t="shared" si="87"/>
        <v>- - -</v>
      </c>
      <c r="EG51" s="44" t="s">
        <v>341</v>
      </c>
      <c r="EH51" s="45" t="s">
        <v>359</v>
      </c>
      <c r="EI51" s="45" t="s">
        <v>376</v>
      </c>
      <c r="EJ51" s="45" t="s">
        <v>359</v>
      </c>
      <c r="EK51" s="72">
        <v>2012</v>
      </c>
      <c r="EL51" s="31"/>
      <c r="EM51" s="51" t="str">
        <f t="shared" si="88"/>
        <v>- - -</v>
      </c>
      <c r="EN51" s="74" t="str">
        <f t="shared" si="89"/>
        <v>---</v>
      </c>
      <c r="EO51" s="84"/>
    </row>
    <row r="52" spans="1:174" s="75" customFormat="1" ht="11.25" customHeight="1" x14ac:dyDescent="0.2">
      <c r="A52" s="100">
        <v>197</v>
      </c>
      <c r="B52" s="434">
        <v>217</v>
      </c>
      <c r="C52" s="31"/>
      <c r="D52" s="31" t="str">
        <f t="shared" si="45"/>
        <v>Bà</v>
      </c>
      <c r="E52" s="37" t="s">
        <v>27</v>
      </c>
      <c r="F52" s="31" t="s">
        <v>380</v>
      </c>
      <c r="G52" s="60" t="s">
        <v>373</v>
      </c>
      <c r="H52" s="508" t="s">
        <v>359</v>
      </c>
      <c r="I52" s="60" t="s">
        <v>349</v>
      </c>
      <c r="J52" s="508" t="s">
        <v>359</v>
      </c>
      <c r="K52" s="37" t="s">
        <v>400</v>
      </c>
      <c r="L52" s="157" t="s">
        <v>451</v>
      </c>
      <c r="M52" s="526" t="str">
        <f t="shared" si="46"/>
        <v>VC</v>
      </c>
      <c r="N52" s="163"/>
      <c r="O52" s="509" t="str">
        <f t="shared" si="47"/>
        <v>CVụ</v>
      </c>
      <c r="P52" s="37" t="s">
        <v>249</v>
      </c>
      <c r="Q52" s="296">
        <f>VLOOKUP(P52,'- DLiêu Gốc -'!$C$2:$H$115,2,0)</f>
        <v>0.6</v>
      </c>
      <c r="R52" s="37" t="s">
        <v>130</v>
      </c>
      <c r="S52" s="37" t="s">
        <v>562</v>
      </c>
      <c r="T52" s="35" t="str">
        <f>VLOOKUP(Y52,'- DLiêu Gốc -'!$C$2:$H$60,5,0)</f>
        <v>A1</v>
      </c>
      <c r="U52" s="36" t="str">
        <f>VLOOKUP(Y52,'- DLiêu Gốc -'!$C$2:$H$60,6,0)</f>
        <v>- - -</v>
      </c>
      <c r="V52" s="537" t="s">
        <v>424</v>
      </c>
      <c r="W52" s="295" t="str">
        <f t="shared" si="48"/>
        <v>Giảng viên (hạng III)</v>
      </c>
      <c r="X52" s="298" t="str">
        <f t="shared" si="49"/>
        <v>V.07.01.03</v>
      </c>
      <c r="Y52" s="317" t="s">
        <v>430</v>
      </c>
      <c r="Z52" s="317" t="str">
        <f>VLOOKUP(Y52,'- DLiêu Gốc -'!$C$1:$H$133,2,0)</f>
        <v>V.07.01.03</v>
      </c>
      <c r="AA52" s="48" t="str">
        <f t="shared" si="50"/>
        <v>Lương</v>
      </c>
      <c r="AB52" s="522">
        <v>5</v>
      </c>
      <c r="AC52" s="407" t="str">
        <f>IF(AD52&gt;0,"/")</f>
        <v>/</v>
      </c>
      <c r="AD52" s="39">
        <f>IF(OR(BE52=0.18,BE52=0.2),12,IF(BE52=0.31,10,IF(BE52=0.33,9,IF(BE52=0.34,8,IF(BE52=0.36,6)))))</f>
        <v>9</v>
      </c>
      <c r="AE52" s="40">
        <f t="shared" si="51"/>
        <v>3.66</v>
      </c>
      <c r="AF52" s="329"/>
      <c r="AG52" s="102"/>
      <c r="AH52" s="396"/>
      <c r="AI52" s="405" t="s">
        <v>359</v>
      </c>
      <c r="AJ52" s="102"/>
      <c r="AK52" s="405" t="s">
        <v>359</v>
      </c>
      <c r="AL52" s="406"/>
      <c r="AM52" s="126"/>
      <c r="AN52" s="49"/>
      <c r="AO52" s="249">
        <f t="shared" si="52"/>
        <v>6</v>
      </c>
      <c r="AP52" s="185" t="str">
        <f t="shared" si="53"/>
        <v>/</v>
      </c>
      <c r="AQ52" s="80">
        <f t="shared" si="54"/>
        <v>9</v>
      </c>
      <c r="AR52" s="185">
        <f t="shared" si="55"/>
        <v>3.99</v>
      </c>
      <c r="AS52" s="333"/>
      <c r="AT52" s="44" t="s">
        <v>341</v>
      </c>
      <c r="AU52" s="395" t="s">
        <v>359</v>
      </c>
      <c r="AV52" s="45" t="s">
        <v>376</v>
      </c>
      <c r="AW52" s="395" t="s">
        <v>359</v>
      </c>
      <c r="AX52" s="46">
        <v>2018</v>
      </c>
      <c r="AY52" s="84"/>
      <c r="AZ52" s="191"/>
      <c r="BA52" s="392"/>
      <c r="BB52" s="47">
        <f t="shared" si="56"/>
        <v>3</v>
      </c>
      <c r="BC52" s="253">
        <f t="shared" si="57"/>
        <v>-24220</v>
      </c>
      <c r="BD52" s="205">
        <f>VLOOKUP(Y52,'- DLiêu Gốc -'!$C$1:$F$60,3,0)</f>
        <v>2.34</v>
      </c>
      <c r="BE52" s="205">
        <f>VLOOKUP(Y52,'- DLiêu Gốc -'!$C$1:$F$60,4,0)</f>
        <v>0.33</v>
      </c>
      <c r="BF52" s="53" t="str">
        <f t="shared" si="58"/>
        <v>PCTN</v>
      </c>
      <c r="BG52" s="54">
        <v>15</v>
      </c>
      <c r="BH52" s="343" t="s">
        <v>332</v>
      </c>
      <c r="BI52" s="56" t="s">
        <v>341</v>
      </c>
      <c r="BJ52" s="400" t="s">
        <v>359</v>
      </c>
      <c r="BK52" s="341" t="s">
        <v>341</v>
      </c>
      <c r="BL52" s="400" t="s">
        <v>359</v>
      </c>
      <c r="BM52" s="178">
        <v>2020</v>
      </c>
      <c r="BN52" s="126"/>
      <c r="BO52" s="58"/>
      <c r="BP52" s="55">
        <f t="shared" si="59"/>
        <v>16</v>
      </c>
      <c r="BQ52" s="346" t="s">
        <v>332</v>
      </c>
      <c r="BR52" s="56" t="s">
        <v>341</v>
      </c>
      <c r="BS52" s="395" t="s">
        <v>359</v>
      </c>
      <c r="BT52" s="339" t="s">
        <v>341</v>
      </c>
      <c r="BU52" s="395" t="s">
        <v>359</v>
      </c>
      <c r="BV52" s="46">
        <v>2021</v>
      </c>
      <c r="BW52" s="57"/>
      <c r="BX52" s="125">
        <v>1</v>
      </c>
      <c r="BY52" s="254">
        <f t="shared" si="60"/>
        <v>-24253</v>
      </c>
      <c r="BZ52" s="53" t="str">
        <f t="shared" si="61"/>
        <v>- - -</v>
      </c>
      <c r="CA52" s="316" t="str">
        <f t="shared" si="62"/>
        <v>Chánh Văn phòng Học viện, Trưởng Ban Tổ chức - Cán bộ, Trưởng Khoa Nhà nước - Pháp luật và Lý luận cơ sở</v>
      </c>
      <c r="CB52" s="59" t="str">
        <f t="shared" si="63"/>
        <v>A</v>
      </c>
      <c r="CC52" s="38" t="str">
        <f t="shared" si="64"/>
        <v>=&gt; s</v>
      </c>
      <c r="CD52" s="48">
        <f t="shared" si="65"/>
        <v>24244</v>
      </c>
      <c r="CE52" s="31" t="str">
        <f t="shared" si="66"/>
        <v>S</v>
      </c>
      <c r="CF52" s="31">
        <v>2017</v>
      </c>
      <c r="CG52" s="303" t="s">
        <v>426</v>
      </c>
      <c r="CH52" s="31"/>
      <c r="CI52" s="105"/>
      <c r="CJ52" s="31" t="str">
        <f t="shared" si="67"/>
        <v>Cùg Ng</v>
      </c>
      <c r="CK52" s="51" t="str">
        <f t="shared" si="68"/>
        <v>- - -</v>
      </c>
      <c r="CL52" s="61"/>
      <c r="CM52" s="62"/>
      <c r="CN52" s="61"/>
      <c r="CO52" s="76"/>
      <c r="CP52" s="51" t="str">
        <f t="shared" si="69"/>
        <v>- - -</v>
      </c>
      <c r="CQ52" s="61"/>
      <c r="CR52" s="146"/>
      <c r="CS52" s="61"/>
      <c r="CT52" s="76"/>
      <c r="CU52" s="65" t="str">
        <f t="shared" si="70"/>
        <v>---</v>
      </c>
      <c r="CV52" s="66" t="str">
        <f t="shared" si="71"/>
        <v>/-/ /-/</v>
      </c>
      <c r="CW52" s="63">
        <f t="shared" si="72"/>
        <v>1</v>
      </c>
      <c r="CX52" s="64">
        <f t="shared" si="73"/>
        <v>2037</v>
      </c>
      <c r="CY52" s="63">
        <f t="shared" si="74"/>
        <v>10</v>
      </c>
      <c r="CZ52" s="64">
        <f t="shared" si="75"/>
        <v>2036</v>
      </c>
      <c r="DA52" s="63">
        <f t="shared" si="76"/>
        <v>7</v>
      </c>
      <c r="DB52" s="64">
        <f t="shared" si="77"/>
        <v>2036</v>
      </c>
      <c r="DC52" s="67" t="str">
        <f t="shared" si="78"/>
        <v>- - -</v>
      </c>
      <c r="DD52" s="68" t="str">
        <f t="shared" si="79"/>
        <v>. .</v>
      </c>
      <c r="DE52" s="68"/>
      <c r="DF52" s="48">
        <f t="shared" si="80"/>
        <v>660</v>
      </c>
      <c r="DG52" s="48">
        <f t="shared" si="81"/>
        <v>-23772</v>
      </c>
      <c r="DH52" s="48">
        <f t="shared" si="82"/>
        <v>-1981</v>
      </c>
      <c r="DI52" s="48" t="str">
        <f t="shared" si="83"/>
        <v>Nữ dưới 30</v>
      </c>
      <c r="DJ52" s="48"/>
      <c r="DK52" s="48"/>
      <c r="DL52" s="53" t="str">
        <f t="shared" si="84"/>
        <v>Đến 30</v>
      </c>
      <c r="DM52" s="61" t="str">
        <f t="shared" si="85"/>
        <v>TD</v>
      </c>
      <c r="DN52" s="32">
        <v>2009</v>
      </c>
      <c r="DO52" s="31"/>
      <c r="DP52" s="69"/>
      <c r="DQ52" s="32"/>
      <c r="DR52" s="76"/>
      <c r="DS52" s="77"/>
      <c r="DT52" s="78"/>
      <c r="DU52" s="71"/>
      <c r="DV52" s="84"/>
      <c r="DW52" s="517" t="s">
        <v>130</v>
      </c>
      <c r="DX52" s="315" t="s">
        <v>110</v>
      </c>
      <c r="DY52" s="33" t="s">
        <v>130</v>
      </c>
      <c r="DZ52" s="44" t="s">
        <v>341</v>
      </c>
      <c r="EA52" s="45" t="s">
        <v>359</v>
      </c>
      <c r="EB52" s="45" t="s">
        <v>370</v>
      </c>
      <c r="EC52" s="45" t="s">
        <v>359</v>
      </c>
      <c r="ED52" s="72">
        <v>2012</v>
      </c>
      <c r="EE52" s="45">
        <f t="shared" si="86"/>
        <v>0</v>
      </c>
      <c r="EF52" s="73" t="str">
        <f t="shared" si="87"/>
        <v>- - -</v>
      </c>
      <c r="EG52" s="44" t="s">
        <v>341</v>
      </c>
      <c r="EH52" s="45" t="s">
        <v>359</v>
      </c>
      <c r="EI52" s="45" t="s">
        <v>370</v>
      </c>
      <c r="EJ52" s="45" t="s">
        <v>359</v>
      </c>
      <c r="EK52" s="72">
        <v>2012</v>
      </c>
      <c r="EL52" s="31"/>
      <c r="EM52" s="51" t="str">
        <f t="shared" si="88"/>
        <v>- - -</v>
      </c>
      <c r="EN52" s="74" t="str">
        <f t="shared" si="89"/>
        <v>---</v>
      </c>
      <c r="EO52" s="84"/>
    </row>
    <row r="53" spans="1:174" s="75" customFormat="1" ht="11.25" customHeight="1" x14ac:dyDescent="0.2">
      <c r="A53" s="100">
        <v>209</v>
      </c>
      <c r="B53" s="434">
        <v>229</v>
      </c>
      <c r="C53" s="523"/>
      <c r="D53" s="523" t="str">
        <f t="shared" si="45"/>
        <v>Bà</v>
      </c>
      <c r="E53" s="524" t="s">
        <v>104</v>
      </c>
      <c r="F53" s="523" t="s">
        <v>380</v>
      </c>
      <c r="G53" s="510" t="s">
        <v>372</v>
      </c>
      <c r="H53" s="179" t="s">
        <v>359</v>
      </c>
      <c r="I53" s="510" t="s">
        <v>343</v>
      </c>
      <c r="J53" s="179" t="s">
        <v>359</v>
      </c>
      <c r="K53" s="524">
        <v>1968</v>
      </c>
      <c r="L53" s="157" t="s">
        <v>451</v>
      </c>
      <c r="M53" s="526" t="str">
        <f t="shared" si="46"/>
        <v>VC</v>
      </c>
      <c r="N53" s="163"/>
      <c r="O53" s="509" t="str">
        <f t="shared" si="47"/>
        <v>CVụ</v>
      </c>
      <c r="P53" s="524" t="s">
        <v>465</v>
      </c>
      <c r="Q53" s="296">
        <f>VLOOKUP(P53,'- DLiêu Gốc -'!$C$2:$H$115,2,0)</f>
        <v>0.6</v>
      </c>
      <c r="R53" s="524" t="s">
        <v>131</v>
      </c>
      <c r="S53" s="37" t="s">
        <v>562</v>
      </c>
      <c r="T53" s="150" t="str">
        <f>VLOOKUP(Y53,'- DLiêu Gốc -'!$C$2:$H$60,5,0)</f>
        <v>A1</v>
      </c>
      <c r="U53" s="151" t="str">
        <f>VLOOKUP(Y53,'- DLiêu Gốc -'!$C$2:$H$60,6,0)</f>
        <v>- - -</v>
      </c>
      <c r="V53" s="537" t="s">
        <v>424</v>
      </c>
      <c r="W53" s="295" t="str">
        <f t="shared" si="48"/>
        <v>Giảng viên (hạng III)</v>
      </c>
      <c r="X53" s="537" t="str">
        <f t="shared" si="49"/>
        <v>V.07.01.03</v>
      </c>
      <c r="Y53" s="319" t="s">
        <v>430</v>
      </c>
      <c r="Z53" s="319" t="str">
        <f>VLOOKUP(Y53,'- DLiêu Gốc -'!$C$1:$H$133,2,0)</f>
        <v>V.07.01.03</v>
      </c>
      <c r="AA53" s="526" t="str">
        <f t="shared" si="50"/>
        <v>Lương</v>
      </c>
      <c r="AB53" s="1444">
        <v>5</v>
      </c>
      <c r="AC53" s="409" t="str">
        <f>IF(AD53&gt;0,"/")</f>
        <v>/</v>
      </c>
      <c r="AD53" s="153">
        <f>IF(OR(BE53=0.18,BE53=0.2),12,IF(BE53=0.31,10,IF(BE53=0.33,9,IF(BE53=0.34,8,IF(BE53=0.36,6)))))</f>
        <v>9</v>
      </c>
      <c r="AE53" s="527">
        <f t="shared" si="51"/>
        <v>3.66</v>
      </c>
      <c r="AF53" s="330"/>
      <c r="AG53" s="155"/>
      <c r="AH53" s="1402" t="s">
        <v>341</v>
      </c>
      <c r="AI53" s="405" t="s">
        <v>359</v>
      </c>
      <c r="AJ53" s="563" t="s">
        <v>349</v>
      </c>
      <c r="AK53" s="405" t="s">
        <v>359</v>
      </c>
      <c r="AL53" s="406">
        <v>2015</v>
      </c>
      <c r="AM53" s="531"/>
      <c r="AN53" s="159"/>
      <c r="AO53" s="1316">
        <f t="shared" si="52"/>
        <v>6</v>
      </c>
      <c r="AP53" s="1317" t="str">
        <f t="shared" si="53"/>
        <v>/</v>
      </c>
      <c r="AQ53" s="156">
        <f t="shared" si="54"/>
        <v>9</v>
      </c>
      <c r="AR53" s="1317">
        <f t="shared" si="55"/>
        <v>3.99</v>
      </c>
      <c r="AS53" s="335"/>
      <c r="AT53" s="528" t="s">
        <v>341</v>
      </c>
      <c r="AU53" s="562" t="s">
        <v>359</v>
      </c>
      <c r="AV53" s="529" t="s">
        <v>342</v>
      </c>
      <c r="AW53" s="562" t="s">
        <v>359</v>
      </c>
      <c r="AX53" s="555">
        <v>2019</v>
      </c>
      <c r="AY53" s="550"/>
      <c r="AZ53" s="385" t="s">
        <v>457</v>
      </c>
      <c r="BA53" s="391"/>
      <c r="BB53" s="530">
        <f t="shared" si="56"/>
        <v>3</v>
      </c>
      <c r="BC53" s="253">
        <f t="shared" si="57"/>
        <v>-24230</v>
      </c>
      <c r="BD53" s="205">
        <f>VLOOKUP(Y53,'- DLiêu Gốc -'!$C$1:$F$60,3,0)</f>
        <v>2.34</v>
      </c>
      <c r="BE53" s="205">
        <f>VLOOKUP(Y53,'- DLiêu Gốc -'!$C$1:$F$60,4,0)</f>
        <v>0.33</v>
      </c>
      <c r="BF53" s="532" t="str">
        <f t="shared" si="58"/>
        <v>PCTN</v>
      </c>
      <c r="BG53" s="533">
        <v>14</v>
      </c>
      <c r="BH53" s="561" t="s">
        <v>332</v>
      </c>
      <c r="BI53" s="56" t="s">
        <v>341</v>
      </c>
      <c r="BJ53" s="400" t="s">
        <v>359</v>
      </c>
      <c r="BK53" s="341" t="s">
        <v>341</v>
      </c>
      <c r="BL53" s="400" t="s">
        <v>359</v>
      </c>
      <c r="BM53" s="178">
        <v>2020</v>
      </c>
      <c r="BN53" s="531"/>
      <c r="BO53" s="162"/>
      <c r="BP53" s="534">
        <f t="shared" si="59"/>
        <v>15</v>
      </c>
      <c r="BQ53" s="347" t="s">
        <v>332</v>
      </c>
      <c r="BR53" s="56" t="s">
        <v>341</v>
      </c>
      <c r="BS53" s="562" t="s">
        <v>359</v>
      </c>
      <c r="BT53" s="560" t="s">
        <v>341</v>
      </c>
      <c r="BU53" s="562" t="s">
        <v>359</v>
      </c>
      <c r="BV53" s="46">
        <v>2021</v>
      </c>
      <c r="BW53" s="161" t="s">
        <v>413</v>
      </c>
      <c r="BX53" s="125">
        <v>1</v>
      </c>
      <c r="BY53" s="254">
        <f t="shared" si="60"/>
        <v>-24253</v>
      </c>
      <c r="BZ53" s="532" t="str">
        <f t="shared" si="61"/>
        <v>- - -</v>
      </c>
      <c r="CA53" s="524" t="str">
        <f t="shared" si="62"/>
        <v>Chánh Văn phòng Học viện, Trưởng Ban Tổ chức - Cán bộ, Trưởng Khoa Nhà nước - Pháp luật và Lý luận cơ sở</v>
      </c>
      <c r="CB53" s="535" t="str">
        <f t="shared" si="63"/>
        <v>A</v>
      </c>
      <c r="CC53" s="536" t="str">
        <f t="shared" si="64"/>
        <v>=&gt; s</v>
      </c>
      <c r="CD53" s="526">
        <f t="shared" si="65"/>
        <v>24254</v>
      </c>
      <c r="CE53" s="523" t="str">
        <f t="shared" si="66"/>
        <v>S</v>
      </c>
      <c r="CF53" s="523">
        <v>2015</v>
      </c>
      <c r="CG53" s="307"/>
      <c r="CH53" s="523"/>
      <c r="CI53" s="537"/>
      <c r="CJ53" s="523" t="str">
        <f t="shared" si="67"/>
        <v>- - -</v>
      </c>
      <c r="CK53" s="538" t="str">
        <f t="shared" si="68"/>
        <v>- - -</v>
      </c>
      <c r="CL53" s="539"/>
      <c r="CM53" s="540"/>
      <c r="CN53" s="539"/>
      <c r="CO53" s="541"/>
      <c r="CP53" s="538" t="str">
        <f t="shared" si="69"/>
        <v>- - -</v>
      </c>
      <c r="CQ53" s="539"/>
      <c r="CR53" s="188"/>
      <c r="CS53" s="539"/>
      <c r="CT53" s="541"/>
      <c r="CU53" s="542" t="str">
        <f t="shared" si="70"/>
        <v>---</v>
      </c>
      <c r="CV53" s="164" t="str">
        <f t="shared" si="71"/>
        <v>/-/ /-/</v>
      </c>
      <c r="CW53" s="543">
        <f t="shared" si="72"/>
        <v>6</v>
      </c>
      <c r="CX53" s="544">
        <f t="shared" si="73"/>
        <v>2023</v>
      </c>
      <c r="CY53" s="543">
        <f t="shared" si="74"/>
        <v>3</v>
      </c>
      <c r="CZ53" s="544">
        <f t="shared" si="75"/>
        <v>2023</v>
      </c>
      <c r="DA53" s="543">
        <f t="shared" si="76"/>
        <v>12</v>
      </c>
      <c r="DB53" s="544">
        <f t="shared" si="77"/>
        <v>2022</v>
      </c>
      <c r="DC53" s="545" t="str">
        <f t="shared" si="78"/>
        <v>- - -</v>
      </c>
      <c r="DD53" s="546" t="str">
        <f t="shared" si="79"/>
        <v>. .</v>
      </c>
      <c r="DE53" s="546"/>
      <c r="DF53" s="526">
        <f t="shared" si="80"/>
        <v>660</v>
      </c>
      <c r="DG53" s="526">
        <f t="shared" si="81"/>
        <v>-23609</v>
      </c>
      <c r="DH53" s="526">
        <f t="shared" si="82"/>
        <v>-1968</v>
      </c>
      <c r="DI53" s="526" t="str">
        <f t="shared" si="83"/>
        <v>Nữ dưới 30</v>
      </c>
      <c r="DJ53" s="526"/>
      <c r="DK53" s="526"/>
      <c r="DL53" s="532" t="str">
        <f t="shared" si="84"/>
        <v>Đến 30</v>
      </c>
      <c r="DM53" s="539" t="str">
        <f t="shared" si="85"/>
        <v>--</v>
      </c>
      <c r="DN53" s="525"/>
      <c r="DO53" s="523"/>
      <c r="DP53" s="556"/>
      <c r="DQ53" s="525"/>
      <c r="DR53" s="541"/>
      <c r="DS53" s="547"/>
      <c r="DT53" s="548"/>
      <c r="DU53" s="549"/>
      <c r="DV53" s="550"/>
      <c r="DW53" s="519" t="s">
        <v>131</v>
      </c>
      <c r="DX53" s="315" t="s">
        <v>110</v>
      </c>
      <c r="DY53" s="165" t="s">
        <v>131</v>
      </c>
      <c r="DZ53" s="528" t="s">
        <v>341</v>
      </c>
      <c r="EA53" s="529" t="s">
        <v>359</v>
      </c>
      <c r="EB53" s="529" t="s">
        <v>348</v>
      </c>
      <c r="EC53" s="529" t="s">
        <v>359</v>
      </c>
      <c r="ED53" s="551">
        <v>2013</v>
      </c>
      <c r="EE53" s="529">
        <f t="shared" si="86"/>
        <v>0</v>
      </c>
      <c r="EF53" s="552" t="str">
        <f t="shared" si="87"/>
        <v>- - -</v>
      </c>
      <c r="EG53" s="528" t="s">
        <v>341</v>
      </c>
      <c r="EH53" s="529" t="s">
        <v>359</v>
      </c>
      <c r="EI53" s="529" t="s">
        <v>348</v>
      </c>
      <c r="EJ53" s="529" t="s">
        <v>359</v>
      </c>
      <c r="EK53" s="551">
        <v>2013</v>
      </c>
      <c r="EL53" s="523"/>
      <c r="EM53" s="538" t="str">
        <f t="shared" si="88"/>
        <v>- - -</v>
      </c>
      <c r="EN53" s="553" t="str">
        <f t="shared" si="89"/>
        <v>---</v>
      </c>
      <c r="EO53" s="550"/>
      <c r="EP53" s="554"/>
      <c r="EQ53" s="554"/>
      <c r="ER53" s="554"/>
      <c r="ES53" s="554"/>
      <c r="ET53" s="554"/>
      <c r="EU53" s="554"/>
      <c r="EV53" s="554"/>
      <c r="EW53" s="554"/>
      <c r="EX53" s="554"/>
      <c r="EY53" s="554"/>
      <c r="EZ53" s="554"/>
      <c r="FA53" s="554"/>
      <c r="FB53" s="554"/>
      <c r="FC53" s="554"/>
      <c r="FD53" s="554"/>
      <c r="FE53" s="554"/>
      <c r="FF53" s="554"/>
      <c r="FG53" s="554"/>
      <c r="FH53" s="554"/>
      <c r="FI53" s="554"/>
      <c r="FJ53" s="554"/>
      <c r="FK53" s="554"/>
      <c r="FL53" s="554"/>
      <c r="FM53" s="554"/>
      <c r="FN53" s="244"/>
      <c r="FO53" s="244"/>
      <c r="FP53" s="244"/>
      <c r="FQ53" s="244"/>
      <c r="FR53" s="244"/>
    </row>
    <row r="54" spans="1:174" s="247" customFormat="1" ht="11.25" customHeight="1" x14ac:dyDescent="0.2">
      <c r="A54" s="100">
        <v>232</v>
      </c>
      <c r="B54" s="296">
        <v>42</v>
      </c>
      <c r="C54" s="31"/>
      <c r="D54" s="31" t="str">
        <f t="shared" si="45"/>
        <v>Ông</v>
      </c>
      <c r="E54" s="437" t="s">
        <v>12</v>
      </c>
      <c r="F54" s="31" t="s">
        <v>378</v>
      </c>
      <c r="G54" s="60" t="s">
        <v>373</v>
      </c>
      <c r="H54" s="508" t="s">
        <v>359</v>
      </c>
      <c r="I54" s="60" t="s">
        <v>370</v>
      </c>
      <c r="J54" s="508" t="s">
        <v>359</v>
      </c>
      <c r="K54" s="37">
        <v>1980</v>
      </c>
      <c r="L54" s="157" t="s">
        <v>451</v>
      </c>
      <c r="M54" s="526" t="str">
        <f t="shared" si="46"/>
        <v>VC</v>
      </c>
      <c r="N54" s="163"/>
      <c r="O54" s="509" t="e">
        <f t="shared" si="47"/>
        <v>#N/A</v>
      </c>
      <c r="P54" s="37"/>
      <c r="Q54" s="296" t="e">
        <f>VLOOKUP(P54,'- DLiêu Gốc -'!$C$2:$H$115,2,0)</f>
        <v>#N/A</v>
      </c>
      <c r="R54" s="37" t="s">
        <v>614</v>
      </c>
      <c r="S54" s="37" t="s">
        <v>562</v>
      </c>
      <c r="T54" s="35" t="str">
        <f>VLOOKUP(Y54,'- DLiêu Gốc -'!$C$2:$H$60,5,0)</f>
        <v>A1</v>
      </c>
      <c r="U54" s="36" t="str">
        <f>VLOOKUP(Y54,'- DLiêu Gốc -'!$C$2:$H$60,6,0)</f>
        <v>- - -</v>
      </c>
      <c r="V54" s="537" t="s">
        <v>424</v>
      </c>
      <c r="W54" s="295" t="str">
        <f t="shared" si="48"/>
        <v>Giảng viên (hạng III)</v>
      </c>
      <c r="X54" s="298" t="str">
        <f t="shared" si="49"/>
        <v>V.07.01.03</v>
      </c>
      <c r="Y54" s="317" t="s">
        <v>430</v>
      </c>
      <c r="Z54" s="317" t="str">
        <f>VLOOKUP(Y54,'- DLiêu Gốc -'!$C$1:$H$133,2,0)</f>
        <v>V.07.01.03</v>
      </c>
      <c r="AA54" s="48" t="str">
        <f t="shared" si="50"/>
        <v>Lương</v>
      </c>
      <c r="AB54" s="117">
        <v>5</v>
      </c>
      <c r="AC54" s="407" t="str">
        <f>IF(AD54&gt;0,"/")</f>
        <v>/</v>
      </c>
      <c r="AD54" s="39">
        <f>IF(OR(BE54=0.18,BE54=0.2),12,IF(BE54=0.31,10,IF(BE54=0.33,9,IF(BE54=0.34,8,IF(BE54=0.36,6)))))</f>
        <v>9</v>
      </c>
      <c r="AE54" s="40">
        <f t="shared" si="51"/>
        <v>3.66</v>
      </c>
      <c r="AF54" s="329"/>
      <c r="AG54" s="102"/>
      <c r="AH54" s="44" t="s">
        <v>341</v>
      </c>
      <c r="AI54" s="395" t="s">
        <v>359</v>
      </c>
      <c r="AJ54" s="45" t="s">
        <v>348</v>
      </c>
      <c r="AK54" s="395" t="s">
        <v>359</v>
      </c>
      <c r="AL54" s="46">
        <v>2015</v>
      </c>
      <c r="AM54" s="126"/>
      <c r="AN54" s="49"/>
      <c r="AO54" s="249">
        <f t="shared" si="52"/>
        <v>6</v>
      </c>
      <c r="AP54" s="185" t="str">
        <f t="shared" si="53"/>
        <v>/</v>
      </c>
      <c r="AQ54" s="80">
        <f t="shared" si="54"/>
        <v>9</v>
      </c>
      <c r="AR54" s="43">
        <f t="shared" si="55"/>
        <v>3.99</v>
      </c>
      <c r="AS54" s="333"/>
      <c r="AT54" s="44" t="s">
        <v>341</v>
      </c>
      <c r="AU54" s="395" t="s">
        <v>359</v>
      </c>
      <c r="AV54" s="45" t="s">
        <v>348</v>
      </c>
      <c r="AW54" s="395" t="s">
        <v>359</v>
      </c>
      <c r="AX54" s="46">
        <v>2018</v>
      </c>
      <c r="AY54" s="84"/>
      <c r="AZ54" s="567" t="s">
        <v>625</v>
      </c>
      <c r="BA54" s="392"/>
      <c r="BB54" s="47">
        <f t="shared" si="56"/>
        <v>3</v>
      </c>
      <c r="BC54" s="253">
        <f t="shared" si="57"/>
        <v>-24225</v>
      </c>
      <c r="BD54" s="205">
        <f>VLOOKUP(Y54,'- DLiêu Gốc -'!$C$1:$F$60,3,0)</f>
        <v>2.34</v>
      </c>
      <c r="BE54" s="205">
        <f>VLOOKUP(Y54,'- DLiêu Gốc -'!$C$1:$F$60,4,0)</f>
        <v>0.33</v>
      </c>
      <c r="BF54" s="53" t="str">
        <f t="shared" si="58"/>
        <v>PCTN</v>
      </c>
      <c r="BG54" s="55">
        <v>15</v>
      </c>
      <c r="BH54" s="343" t="s">
        <v>332</v>
      </c>
      <c r="BI54" s="56" t="s">
        <v>341</v>
      </c>
      <c r="BJ54" s="400" t="s">
        <v>359</v>
      </c>
      <c r="BK54" s="341" t="s">
        <v>341</v>
      </c>
      <c r="BL54" s="400" t="s">
        <v>359</v>
      </c>
      <c r="BM54" s="178">
        <v>2020</v>
      </c>
      <c r="BN54" s="126"/>
      <c r="BO54" s="58"/>
      <c r="BP54" s="55">
        <f t="shared" si="59"/>
        <v>16</v>
      </c>
      <c r="BQ54" s="346" t="s">
        <v>332</v>
      </c>
      <c r="BR54" s="56" t="s">
        <v>341</v>
      </c>
      <c r="BS54" s="395" t="s">
        <v>359</v>
      </c>
      <c r="BT54" s="339" t="s">
        <v>341</v>
      </c>
      <c r="BU54" s="395" t="s">
        <v>359</v>
      </c>
      <c r="BV54" s="46">
        <v>2021</v>
      </c>
      <c r="BW54" s="57"/>
      <c r="BX54" s="125">
        <v>1</v>
      </c>
      <c r="BY54" s="254">
        <f t="shared" si="60"/>
        <v>-24253</v>
      </c>
      <c r="BZ54" s="53" t="str">
        <f t="shared" si="61"/>
        <v>- - -</v>
      </c>
      <c r="CA54" s="316" t="str">
        <f t="shared" si="62"/>
        <v>Chánh Văn phòng Học viện, Trưởng Ban Tổ chức - Cán bộ, Trưởng Khoa Nhà nước - Pháp luật và Lý luận cơ sở</v>
      </c>
      <c r="CB54" s="59" t="str">
        <f t="shared" si="63"/>
        <v>A</v>
      </c>
      <c r="CC54" s="38" t="str">
        <f t="shared" si="64"/>
        <v>=&gt; s</v>
      </c>
      <c r="CD54" s="48">
        <f t="shared" si="65"/>
        <v>24249</v>
      </c>
      <c r="CE54" s="31" t="str">
        <f t="shared" si="66"/>
        <v>---</v>
      </c>
      <c r="CF54" s="31"/>
      <c r="CG54" s="303"/>
      <c r="CH54" s="31"/>
      <c r="CI54" s="31"/>
      <c r="CJ54" s="31" t="str">
        <f t="shared" si="67"/>
        <v>- - -</v>
      </c>
      <c r="CK54" s="51" t="str">
        <f t="shared" si="68"/>
        <v>- - -</v>
      </c>
      <c r="CL54" s="61"/>
      <c r="CM54" s="62"/>
      <c r="CN54" s="61"/>
      <c r="CO54" s="76"/>
      <c r="CP54" s="51" t="str">
        <f t="shared" si="69"/>
        <v>- - -</v>
      </c>
      <c r="CQ54" s="61"/>
      <c r="CR54" s="32"/>
      <c r="CS54" s="61"/>
      <c r="CT54" s="76"/>
      <c r="CU54" s="65" t="str">
        <f t="shared" si="70"/>
        <v>---</v>
      </c>
      <c r="CV54" s="66" t="str">
        <f t="shared" si="71"/>
        <v>/-/ /-/</v>
      </c>
      <c r="CW54" s="63">
        <f t="shared" si="72"/>
        <v>11</v>
      </c>
      <c r="CX54" s="64">
        <f t="shared" si="73"/>
        <v>2040</v>
      </c>
      <c r="CY54" s="63">
        <f t="shared" si="74"/>
        <v>8</v>
      </c>
      <c r="CZ54" s="64">
        <f t="shared" si="75"/>
        <v>2040</v>
      </c>
      <c r="DA54" s="63">
        <f t="shared" si="76"/>
        <v>5</v>
      </c>
      <c r="DB54" s="64">
        <f t="shared" si="77"/>
        <v>2040</v>
      </c>
      <c r="DC54" s="67" t="str">
        <f t="shared" si="78"/>
        <v>- - -</v>
      </c>
      <c r="DD54" s="68" t="str">
        <f t="shared" si="79"/>
        <v>. .</v>
      </c>
      <c r="DE54" s="68"/>
      <c r="DF54" s="48">
        <f t="shared" si="80"/>
        <v>720</v>
      </c>
      <c r="DG54" s="48">
        <f t="shared" si="81"/>
        <v>-23758</v>
      </c>
      <c r="DH54" s="48">
        <f t="shared" si="82"/>
        <v>-1980</v>
      </c>
      <c r="DI54" s="48" t="str">
        <f t="shared" si="83"/>
        <v>Nam dưới 35</v>
      </c>
      <c r="DJ54" s="48"/>
      <c r="DK54" s="48"/>
      <c r="DL54" s="53" t="str">
        <f t="shared" si="84"/>
        <v>Đến 30</v>
      </c>
      <c r="DM54" s="61" t="str">
        <f t="shared" si="85"/>
        <v>TD</v>
      </c>
      <c r="DN54" s="32">
        <v>2012</v>
      </c>
      <c r="DO54" s="82"/>
      <c r="DP54" s="52"/>
      <c r="DQ54" s="76"/>
      <c r="DR54" s="76"/>
      <c r="DS54" s="77"/>
      <c r="DT54" s="78"/>
      <c r="DU54" s="71"/>
      <c r="DV54" s="84"/>
      <c r="DW54" s="33" t="s">
        <v>10</v>
      </c>
      <c r="DX54" s="315" t="s">
        <v>106</v>
      </c>
      <c r="DY54" s="33" t="s">
        <v>10</v>
      </c>
      <c r="DZ54" s="44" t="s">
        <v>341</v>
      </c>
      <c r="EA54" s="45" t="s">
        <v>359</v>
      </c>
      <c r="EB54" s="45" t="s">
        <v>348</v>
      </c>
      <c r="EC54" s="45" t="s">
        <v>359</v>
      </c>
      <c r="ED54" s="72">
        <v>2012</v>
      </c>
      <c r="EE54" s="45">
        <f t="shared" si="86"/>
        <v>0</v>
      </c>
      <c r="EF54" s="73" t="str">
        <f t="shared" si="87"/>
        <v>- - -</v>
      </c>
      <c r="EG54" s="44" t="s">
        <v>341</v>
      </c>
      <c r="EH54" s="45" t="s">
        <v>359</v>
      </c>
      <c r="EI54" s="45" t="s">
        <v>348</v>
      </c>
      <c r="EJ54" s="45" t="s">
        <v>359</v>
      </c>
      <c r="EK54" s="72">
        <v>2012</v>
      </c>
      <c r="EL54" s="31"/>
      <c r="EM54" s="51" t="str">
        <f t="shared" si="88"/>
        <v>- - -</v>
      </c>
      <c r="EN54" s="74" t="str">
        <f t="shared" si="89"/>
        <v>---</v>
      </c>
      <c r="EO54" s="84"/>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171"/>
      <c r="FO54" s="171"/>
      <c r="FP54" s="171"/>
      <c r="FQ54" s="171"/>
      <c r="FR54" s="171"/>
    </row>
    <row r="55" spans="1:174" s="107" customFormat="1" ht="11.25" customHeight="1" x14ac:dyDescent="0.2">
      <c r="A55" s="100">
        <v>261</v>
      </c>
      <c r="B55" s="434">
        <v>301</v>
      </c>
      <c r="C55" s="31"/>
      <c r="D55" s="31" t="str">
        <f t="shared" si="45"/>
        <v>Ông</v>
      </c>
      <c r="E55" s="37" t="s">
        <v>35</v>
      </c>
      <c r="F55" s="31" t="s">
        <v>378</v>
      </c>
      <c r="G55" s="60" t="s">
        <v>326</v>
      </c>
      <c r="H55" s="508" t="s">
        <v>359</v>
      </c>
      <c r="I55" s="60" t="s">
        <v>342</v>
      </c>
      <c r="J55" s="508" t="s">
        <v>359</v>
      </c>
      <c r="K55" s="37">
        <v>1975</v>
      </c>
      <c r="L55" s="157" t="s">
        <v>451</v>
      </c>
      <c r="M55" s="526" t="str">
        <f t="shared" si="46"/>
        <v>VC</v>
      </c>
      <c r="N55" s="163"/>
      <c r="O55" s="509" t="str">
        <f t="shared" si="47"/>
        <v>CVụ</v>
      </c>
      <c r="P55" s="37" t="s">
        <v>250</v>
      </c>
      <c r="Q55" s="296">
        <f>VLOOKUP(P55,'- DLiêu Gốc -'!$C$2:$H$115,2,0)</f>
        <v>0.4</v>
      </c>
      <c r="R55" s="37" t="s">
        <v>37</v>
      </c>
      <c r="S55" s="37" t="s">
        <v>565</v>
      </c>
      <c r="T55" s="35" t="str">
        <f>VLOOKUP(Y55,'- DLiêu Gốc -'!$C$2:$H$60,5,0)</f>
        <v>A2</v>
      </c>
      <c r="U55" s="36" t="str">
        <f>VLOOKUP(Y55,'- DLiêu Gốc -'!$C$2:$H$60,6,0)</f>
        <v>A2.1</v>
      </c>
      <c r="V55" s="537" t="s">
        <v>424</v>
      </c>
      <c r="W55" s="295" t="str">
        <f t="shared" si="48"/>
        <v>Giảng viên chính (hạng II)</v>
      </c>
      <c r="X55" s="298" t="str">
        <f t="shared" si="49"/>
        <v>V.07.01.02</v>
      </c>
      <c r="Y55" s="317" t="s">
        <v>431</v>
      </c>
      <c r="Z55" s="317" t="str">
        <f>VLOOKUP(Y55,'- DLiêu Gốc -'!$C$1:$H$133,2,0)</f>
        <v>V.07.01.02</v>
      </c>
      <c r="AA55" s="48" t="str">
        <f t="shared" si="50"/>
        <v>Lương</v>
      </c>
      <c r="AB55" s="139">
        <v>2</v>
      </c>
      <c r="AC55" s="407" t="str">
        <f>IF(AD55&gt;0,"/")</f>
        <v>/</v>
      </c>
      <c r="AD55" s="39">
        <f>IF(OR(BE55=0.18,BE55=0.2),12,IF(BE55=0.31,10,IF(BE55=0.33,9,IF(BE55=0.34,8,IF(BE55=0.36,6)))))</f>
        <v>8</v>
      </c>
      <c r="AE55" s="40">
        <f t="shared" si="51"/>
        <v>4.74</v>
      </c>
      <c r="AF55" s="329"/>
      <c r="AG55" s="102"/>
      <c r="AH55" s="396"/>
      <c r="AI55" s="405" t="s">
        <v>359</v>
      </c>
      <c r="AJ55" s="102"/>
      <c r="AK55" s="405" t="s">
        <v>359</v>
      </c>
      <c r="AL55" s="406"/>
      <c r="AM55" s="126"/>
      <c r="AN55" s="49"/>
      <c r="AO55" s="249">
        <f t="shared" si="52"/>
        <v>3</v>
      </c>
      <c r="AP55" s="185" t="str">
        <f t="shared" si="53"/>
        <v>/</v>
      </c>
      <c r="AQ55" s="80">
        <f t="shared" si="54"/>
        <v>8</v>
      </c>
      <c r="AR55" s="43">
        <f t="shared" si="55"/>
        <v>5.08</v>
      </c>
      <c r="AS55" s="333"/>
      <c r="AT55" s="44" t="s">
        <v>341</v>
      </c>
      <c r="AU55" s="395" t="s">
        <v>359</v>
      </c>
      <c r="AV55" s="45" t="s">
        <v>347</v>
      </c>
      <c r="AW55" s="395" t="s">
        <v>359</v>
      </c>
      <c r="AX55" s="46">
        <v>2018</v>
      </c>
      <c r="AY55" s="84"/>
      <c r="AZ55" s="383"/>
      <c r="BA55" s="392"/>
      <c r="BB55" s="47">
        <f t="shared" si="56"/>
        <v>3</v>
      </c>
      <c r="BC55" s="253">
        <f t="shared" si="57"/>
        <v>-24223</v>
      </c>
      <c r="BD55" s="205">
        <f>VLOOKUP(Y55,'- DLiêu Gốc -'!$C$1:$F$60,3,0)</f>
        <v>4.4000000000000004</v>
      </c>
      <c r="BE55" s="205">
        <f>VLOOKUP(Y55,'- DLiêu Gốc -'!$C$1:$F$60,4,0)</f>
        <v>0.34</v>
      </c>
      <c r="BF55" s="53" t="str">
        <f t="shared" si="58"/>
        <v>PCTN</v>
      </c>
      <c r="BG55" s="54">
        <v>10</v>
      </c>
      <c r="BH55" s="343" t="s">
        <v>332</v>
      </c>
      <c r="BI55" s="56" t="s">
        <v>341</v>
      </c>
      <c r="BJ55" s="400" t="s">
        <v>359</v>
      </c>
      <c r="BK55" s="341" t="s">
        <v>341</v>
      </c>
      <c r="BL55" s="400" t="s">
        <v>359</v>
      </c>
      <c r="BM55" s="178">
        <v>2020</v>
      </c>
      <c r="BN55" s="126"/>
      <c r="BO55" s="58"/>
      <c r="BP55" s="55">
        <f t="shared" si="59"/>
        <v>11</v>
      </c>
      <c r="BQ55" s="346" t="s">
        <v>332</v>
      </c>
      <c r="BR55" s="56" t="s">
        <v>341</v>
      </c>
      <c r="BS55" s="395"/>
      <c r="BT55" s="339" t="s">
        <v>341</v>
      </c>
      <c r="BU55" s="395"/>
      <c r="BV55" s="46">
        <v>2021</v>
      </c>
      <c r="BW55" s="57"/>
      <c r="BX55" s="125">
        <v>1</v>
      </c>
      <c r="BY55" s="254">
        <f t="shared" si="60"/>
        <v>-24253</v>
      </c>
      <c r="BZ55" s="53" t="str">
        <f t="shared" si="61"/>
        <v>- - -</v>
      </c>
      <c r="CA55" s="316" t="str">
        <f t="shared" si="62"/>
        <v>Chánh Văn phòng Học viện, Trưởng Ban Tổ chức - Cán bộ, Trưởng Khoa Quản lý nhà nước về Kinh tế và Tài chính công</v>
      </c>
      <c r="CB55" s="59" t="str">
        <f t="shared" si="63"/>
        <v>A</v>
      </c>
      <c r="CC55" s="38" t="str">
        <f t="shared" si="64"/>
        <v>=&gt; s</v>
      </c>
      <c r="CD55" s="48">
        <f t="shared" si="65"/>
        <v>24247</v>
      </c>
      <c r="CE55" s="31" t="str">
        <f t="shared" si="66"/>
        <v>---</v>
      </c>
      <c r="CF55" s="31"/>
      <c r="CG55" s="303"/>
      <c r="CH55" s="31"/>
      <c r="CI55" s="105"/>
      <c r="CJ55" s="31" t="str">
        <f t="shared" si="67"/>
        <v>- - -</v>
      </c>
      <c r="CK55" s="51" t="str">
        <f t="shared" si="68"/>
        <v>NN</v>
      </c>
      <c r="CL55" s="61">
        <v>7</v>
      </c>
      <c r="CM55" s="62">
        <v>2012</v>
      </c>
      <c r="CN55" s="61"/>
      <c r="CO55" s="76"/>
      <c r="CP55" s="51" t="str">
        <f t="shared" si="69"/>
        <v>- - -</v>
      </c>
      <c r="CQ55" s="61"/>
      <c r="CR55" s="62"/>
      <c r="CS55" s="61"/>
      <c r="CT55" s="76"/>
      <c r="CU55" s="65" t="str">
        <f t="shared" si="70"/>
        <v>---</v>
      </c>
      <c r="CV55" s="66" t="str">
        <f t="shared" si="71"/>
        <v>/-/ /-/</v>
      </c>
      <c r="CW55" s="63">
        <f t="shared" si="72"/>
        <v>3</v>
      </c>
      <c r="CX55" s="64">
        <f t="shared" si="73"/>
        <v>2035</v>
      </c>
      <c r="CY55" s="63">
        <f t="shared" si="74"/>
        <v>12</v>
      </c>
      <c r="CZ55" s="64">
        <f t="shared" si="75"/>
        <v>2034</v>
      </c>
      <c r="DA55" s="63">
        <f t="shared" si="76"/>
        <v>9</v>
      </c>
      <c r="DB55" s="64">
        <f t="shared" si="77"/>
        <v>2034</v>
      </c>
      <c r="DC55" s="67" t="str">
        <f t="shared" si="78"/>
        <v>- - -</v>
      </c>
      <c r="DD55" s="68" t="str">
        <f t="shared" si="79"/>
        <v>. .</v>
      </c>
      <c r="DE55" s="68"/>
      <c r="DF55" s="48">
        <f t="shared" si="80"/>
        <v>720</v>
      </c>
      <c r="DG55" s="48">
        <f t="shared" si="81"/>
        <v>-23690</v>
      </c>
      <c r="DH55" s="48">
        <f t="shared" si="82"/>
        <v>-1975</v>
      </c>
      <c r="DI55" s="48" t="str">
        <f t="shared" si="83"/>
        <v>Nam dưới 35</v>
      </c>
      <c r="DJ55" s="48"/>
      <c r="DK55" s="48"/>
      <c r="DL55" s="53" t="str">
        <f t="shared" si="84"/>
        <v>Đến 30</v>
      </c>
      <c r="DM55" s="61" t="str">
        <f t="shared" si="85"/>
        <v>--</v>
      </c>
      <c r="DN55" s="32"/>
      <c r="DO55" s="31"/>
      <c r="DP55" s="69"/>
      <c r="DQ55" s="32"/>
      <c r="DR55" s="76"/>
      <c r="DS55" s="77"/>
      <c r="DT55" s="78"/>
      <c r="DU55" s="71"/>
      <c r="DV55" s="84"/>
      <c r="DW55" s="33" t="s">
        <v>37</v>
      </c>
      <c r="DX55" s="315" t="s">
        <v>116</v>
      </c>
      <c r="DY55" s="33" t="s">
        <v>37</v>
      </c>
      <c r="DZ55" s="44" t="s">
        <v>341</v>
      </c>
      <c r="EA55" s="45" t="s">
        <v>359</v>
      </c>
      <c r="EB55" s="143" t="s">
        <v>347</v>
      </c>
      <c r="EC55" s="45" t="s">
        <v>359</v>
      </c>
      <c r="ED55" s="72">
        <v>2012</v>
      </c>
      <c r="EE55" s="45">
        <f t="shared" si="86"/>
        <v>0</v>
      </c>
      <c r="EF55" s="73" t="str">
        <f t="shared" si="87"/>
        <v>- - -</v>
      </c>
      <c r="EG55" s="44" t="s">
        <v>341</v>
      </c>
      <c r="EH55" s="45" t="s">
        <v>359</v>
      </c>
      <c r="EI55" s="45" t="s">
        <v>347</v>
      </c>
      <c r="EJ55" s="45" t="s">
        <v>359</v>
      </c>
      <c r="EK55" s="72">
        <v>2012</v>
      </c>
      <c r="EL55" s="31">
        <v>3.66</v>
      </c>
      <c r="EM55" s="51" t="str">
        <f t="shared" si="88"/>
        <v>- - -</v>
      </c>
      <c r="EN55" s="74" t="str">
        <f t="shared" si="89"/>
        <v>---</v>
      </c>
      <c r="EO55" s="84"/>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187"/>
      <c r="FO55" s="187"/>
      <c r="FP55" s="187"/>
      <c r="FQ55" s="187"/>
      <c r="FR55" s="187"/>
    </row>
    <row r="56" spans="1:174" s="1404" customFormat="1" ht="11.25" customHeight="1" x14ac:dyDescent="0.2">
      <c r="A56" s="100">
        <v>305</v>
      </c>
      <c r="B56" s="434">
        <v>237</v>
      </c>
      <c r="C56" s="31"/>
      <c r="D56" s="31" t="str">
        <f t="shared" si="45"/>
        <v>Bà</v>
      </c>
      <c r="E56" s="37" t="s">
        <v>17</v>
      </c>
      <c r="F56" s="31" t="s">
        <v>380</v>
      </c>
      <c r="G56" s="60" t="s">
        <v>329</v>
      </c>
      <c r="H56" s="508" t="s">
        <v>359</v>
      </c>
      <c r="I56" s="60">
        <v>7</v>
      </c>
      <c r="J56" s="508" t="s">
        <v>359</v>
      </c>
      <c r="K56" s="37">
        <v>1974</v>
      </c>
      <c r="L56" s="157" t="s">
        <v>451</v>
      </c>
      <c r="M56" s="526" t="str">
        <f t="shared" si="46"/>
        <v>VC</v>
      </c>
      <c r="N56" s="163"/>
      <c r="O56" s="509" t="str">
        <f t="shared" si="47"/>
        <v>CVụ</v>
      </c>
      <c r="P56" s="37" t="s">
        <v>250</v>
      </c>
      <c r="Q56" s="296">
        <f>VLOOKUP(P56,'- DLiêu Gốc -'!$C$2:$H$115,2,0)</f>
        <v>0.4</v>
      </c>
      <c r="R56" s="123" t="s">
        <v>460</v>
      </c>
      <c r="S56" s="123" t="s">
        <v>111</v>
      </c>
      <c r="T56" s="446" t="str">
        <f>VLOOKUP(Y56,'- DLiêu Gốc -'!$C$2:$H$60,5,0)</f>
        <v>A2</v>
      </c>
      <c r="U56" s="447" t="str">
        <f>VLOOKUP(Y56,'- DLiêu Gốc -'!$C$2:$H$60,6,0)</f>
        <v>A2.1</v>
      </c>
      <c r="V56" s="307" t="s">
        <v>424</v>
      </c>
      <c r="W56" s="463" t="str">
        <f t="shared" si="48"/>
        <v>Giảng viên chính (hạng II)</v>
      </c>
      <c r="X56" s="303" t="str">
        <f t="shared" si="49"/>
        <v>V.07.01.02</v>
      </c>
      <c r="Y56" s="464" t="s">
        <v>431</v>
      </c>
      <c r="Z56" s="464" t="str">
        <f>VLOOKUP(Y56,'- DLiêu Gốc -'!$C$1:$H$133,2,0)</f>
        <v>V.07.01.02</v>
      </c>
      <c r="AA56" s="149" t="str">
        <f t="shared" si="50"/>
        <v>Lương</v>
      </c>
      <c r="AB56" s="1437">
        <v>1</v>
      </c>
      <c r="AC56" s="1438" t="str">
        <f>IF(AD56&gt;0,"/")</f>
        <v>/</v>
      </c>
      <c r="AD56" s="153">
        <f>IF(OR(BE56=0.18,BE56=0.2),12,IF(BE56=0.31,10,IF(BE56=0.33,9,IF(BE56=0.34,8,IF(BE56=0.36,6)))))</f>
        <v>8</v>
      </c>
      <c r="AE56" s="465">
        <f t="shared" si="51"/>
        <v>4.4000000000000004</v>
      </c>
      <c r="AF56" s="465"/>
      <c r="AG56" s="329"/>
      <c r="AH56" s="465" t="s">
        <v>341</v>
      </c>
      <c r="AI56" s="445" t="s">
        <v>359</v>
      </c>
      <c r="AJ56" s="465" t="s">
        <v>341</v>
      </c>
      <c r="AK56" s="445" t="s">
        <v>359</v>
      </c>
      <c r="AL56" s="406">
        <v>2017</v>
      </c>
      <c r="AM56" s="174"/>
      <c r="AN56" s="172"/>
      <c r="AO56" s="454">
        <f t="shared" si="52"/>
        <v>2</v>
      </c>
      <c r="AP56" s="448" t="str">
        <f t="shared" si="53"/>
        <v>/</v>
      </c>
      <c r="AQ56" s="470">
        <f t="shared" si="54"/>
        <v>8</v>
      </c>
      <c r="AR56" s="43">
        <f t="shared" si="55"/>
        <v>4.74</v>
      </c>
      <c r="AS56" s="333"/>
      <c r="AT56" s="148" t="s">
        <v>341</v>
      </c>
      <c r="AU56" s="404" t="s">
        <v>359</v>
      </c>
      <c r="AV56" s="143" t="s">
        <v>341</v>
      </c>
      <c r="AW56" s="404" t="s">
        <v>359</v>
      </c>
      <c r="AX56" s="46">
        <v>2020</v>
      </c>
      <c r="AY56" s="123"/>
      <c r="AZ56" s="388" t="s">
        <v>618</v>
      </c>
      <c r="BA56" s="478"/>
      <c r="BB56" s="479">
        <f t="shared" si="56"/>
        <v>3</v>
      </c>
      <c r="BC56" s="480">
        <f t="shared" si="57"/>
        <v>-24241</v>
      </c>
      <c r="BD56" s="481">
        <f>VLOOKUP(Y56,'- DLiêu Gốc -'!$C$1:$F$60,3,0)</f>
        <v>4.4000000000000004</v>
      </c>
      <c r="BE56" s="481">
        <f>VLOOKUP(Y56,'- DLiêu Gốc -'!$C$1:$F$60,4,0)</f>
        <v>0.34</v>
      </c>
      <c r="BF56" s="482" t="str">
        <f t="shared" si="58"/>
        <v>PCTN</v>
      </c>
      <c r="BG56" s="449">
        <v>16</v>
      </c>
      <c r="BH56" s="450" t="s">
        <v>332</v>
      </c>
      <c r="BI56" s="455" t="s">
        <v>341</v>
      </c>
      <c r="BJ56" s="474" t="s">
        <v>359</v>
      </c>
      <c r="BK56" s="752" t="s">
        <v>341</v>
      </c>
      <c r="BL56" s="474" t="s">
        <v>359</v>
      </c>
      <c r="BM56" s="178">
        <v>2020</v>
      </c>
      <c r="BN56" s="174"/>
      <c r="BO56" s="451"/>
      <c r="BP56" s="449">
        <f t="shared" si="59"/>
        <v>17</v>
      </c>
      <c r="BQ56" s="172" t="s">
        <v>332</v>
      </c>
      <c r="BR56" s="455" t="s">
        <v>341</v>
      </c>
      <c r="BS56" s="404" t="s">
        <v>359</v>
      </c>
      <c r="BT56" s="141" t="s">
        <v>341</v>
      </c>
      <c r="BU56" s="404" t="s">
        <v>359</v>
      </c>
      <c r="BV56" s="46">
        <v>2021</v>
      </c>
      <c r="BW56" s="144"/>
      <c r="BX56" s="485">
        <v>1</v>
      </c>
      <c r="BY56" s="486">
        <f t="shared" si="60"/>
        <v>-24253</v>
      </c>
      <c r="BZ56" s="482" t="str">
        <f t="shared" si="61"/>
        <v>- - -</v>
      </c>
      <c r="CA56" s="489" t="str">
        <f t="shared" si="62"/>
        <v>Chánh Văn phòng Học viện, Trưởng Ban Tổ chức - Cán bộ, Trưởng Khoa Quản lý nhà nước về Xã hội</v>
      </c>
      <c r="CB56" s="436" t="str">
        <f t="shared" si="63"/>
        <v>A</v>
      </c>
      <c r="CC56" s="149" t="str">
        <f t="shared" si="64"/>
        <v>=&gt; s</v>
      </c>
      <c r="CD56" s="149">
        <f t="shared" si="65"/>
        <v>24265</v>
      </c>
      <c r="CE56" s="146" t="str">
        <f t="shared" si="66"/>
        <v>S</v>
      </c>
      <c r="CF56" s="146">
        <v>2011</v>
      </c>
      <c r="CG56" s="303" t="s">
        <v>426</v>
      </c>
      <c r="CH56" s="146"/>
      <c r="CI56" s="753"/>
      <c r="CJ56" s="146" t="str">
        <f t="shared" si="67"/>
        <v>- - -</v>
      </c>
      <c r="CK56" s="147" t="str">
        <f t="shared" si="68"/>
        <v>- - -</v>
      </c>
      <c r="CL56" s="147"/>
      <c r="CM56" s="146"/>
      <c r="CN56" s="147"/>
      <c r="CO56" s="147"/>
      <c r="CP56" s="147" t="str">
        <f t="shared" si="69"/>
        <v>- - -</v>
      </c>
      <c r="CQ56" s="147"/>
      <c r="CR56" s="146"/>
      <c r="CS56" s="147"/>
      <c r="CT56" s="147"/>
      <c r="CU56" s="452" t="str">
        <f t="shared" si="70"/>
        <v>---</v>
      </c>
      <c r="CV56" s="495" t="str">
        <f t="shared" si="71"/>
        <v>/-/ /-/</v>
      </c>
      <c r="CW56" s="175">
        <f t="shared" si="72"/>
        <v>8</v>
      </c>
      <c r="CX56" s="175">
        <f t="shared" si="73"/>
        <v>2029</v>
      </c>
      <c r="CY56" s="175">
        <f t="shared" si="74"/>
        <v>5</v>
      </c>
      <c r="CZ56" s="175">
        <f t="shared" si="75"/>
        <v>2029</v>
      </c>
      <c r="DA56" s="175">
        <f t="shared" si="76"/>
        <v>2</v>
      </c>
      <c r="DB56" s="175">
        <f t="shared" si="77"/>
        <v>2029</v>
      </c>
      <c r="DC56" s="453" t="str">
        <f t="shared" si="78"/>
        <v>- - -</v>
      </c>
      <c r="DD56" s="496" t="str">
        <f t="shared" si="79"/>
        <v>. .</v>
      </c>
      <c r="DE56" s="497"/>
      <c r="DF56" s="149">
        <f t="shared" si="80"/>
        <v>660</v>
      </c>
      <c r="DG56" s="149">
        <f t="shared" si="81"/>
        <v>-23683</v>
      </c>
      <c r="DH56" s="149">
        <f t="shared" si="82"/>
        <v>-1974</v>
      </c>
      <c r="DI56" s="149" t="str">
        <f t="shared" si="83"/>
        <v>Nữ dưới 30</v>
      </c>
      <c r="DJ56" s="149"/>
      <c r="DK56" s="149"/>
      <c r="DL56" s="482" t="str">
        <f t="shared" si="84"/>
        <v>Đến 30</v>
      </c>
      <c r="DM56" s="147" t="str">
        <f t="shared" si="85"/>
        <v>TD</v>
      </c>
      <c r="DN56" s="146">
        <v>2008</v>
      </c>
      <c r="DO56" s="146"/>
      <c r="DP56" s="146"/>
      <c r="DQ56" s="146"/>
      <c r="DR56" s="147"/>
      <c r="DS56" s="147"/>
      <c r="DT56" s="173"/>
      <c r="DU56" s="502"/>
      <c r="DV56" s="123"/>
      <c r="DW56" s="123" t="s">
        <v>460</v>
      </c>
      <c r="DX56" s="462" t="s">
        <v>126</v>
      </c>
      <c r="DY56" s="123"/>
      <c r="DZ56" s="148" t="s">
        <v>341</v>
      </c>
      <c r="EA56" s="143" t="s">
        <v>359</v>
      </c>
      <c r="EB56" s="143" t="s">
        <v>341</v>
      </c>
      <c r="EC56" s="143" t="s">
        <v>359</v>
      </c>
      <c r="ED56" s="176">
        <v>2014</v>
      </c>
      <c r="EE56" s="143">
        <f t="shared" si="86"/>
        <v>0</v>
      </c>
      <c r="EF56" s="146" t="str">
        <f t="shared" si="87"/>
        <v>- - -</v>
      </c>
      <c r="EG56" s="148" t="s">
        <v>341</v>
      </c>
      <c r="EH56" s="143" t="s">
        <v>359</v>
      </c>
      <c r="EI56" s="143" t="s">
        <v>341</v>
      </c>
      <c r="EJ56" s="143" t="s">
        <v>359</v>
      </c>
      <c r="EK56" s="176">
        <v>2014</v>
      </c>
      <c r="EL56" s="146"/>
      <c r="EM56" s="147" t="str">
        <f t="shared" si="88"/>
        <v>- - -</v>
      </c>
      <c r="EN56" s="453" t="str">
        <f t="shared" si="89"/>
        <v>---</v>
      </c>
      <c r="EO56" s="123"/>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row>
    <row r="57" spans="1:174" s="30" customFormat="1" ht="14.25" customHeight="1" x14ac:dyDescent="0.2">
      <c r="A57" s="100">
        <v>333</v>
      </c>
      <c r="B57" s="434">
        <v>377</v>
      </c>
      <c r="C57" s="31"/>
      <c r="D57" s="31" t="str">
        <f t="shared" si="45"/>
        <v>Bà</v>
      </c>
      <c r="E57" s="37" t="s">
        <v>43</v>
      </c>
      <c r="F57" s="31" t="s">
        <v>380</v>
      </c>
      <c r="G57" s="60" t="s">
        <v>372</v>
      </c>
      <c r="H57" s="508" t="s">
        <v>359</v>
      </c>
      <c r="I57" s="60" t="s">
        <v>346</v>
      </c>
      <c r="J57" s="508" t="s">
        <v>359</v>
      </c>
      <c r="K57" s="37">
        <v>1983</v>
      </c>
      <c r="L57" s="157" t="s">
        <v>451</v>
      </c>
      <c r="M57" s="526" t="str">
        <f t="shared" si="46"/>
        <v>VC</v>
      </c>
      <c r="N57" s="163"/>
      <c r="O57" s="509" t="e">
        <f t="shared" si="47"/>
        <v>#N/A</v>
      </c>
      <c r="P57" s="37"/>
      <c r="Q57" s="296" t="e">
        <f>VLOOKUP(P57,'- DLiêu Gốc -'!$C$2:$H$115,2,0)</f>
        <v>#N/A</v>
      </c>
      <c r="R57" s="123" t="s">
        <v>316</v>
      </c>
      <c r="S57" s="462" t="s">
        <v>119</v>
      </c>
      <c r="T57" s="446" t="str">
        <f>VLOOKUP(Y57,'- DLiêu Gốc -'!$C$2:$H$60,5,0)</f>
        <v>A1</v>
      </c>
      <c r="U57" s="447" t="str">
        <f>VLOOKUP(Y57,'- DLiêu Gốc -'!$C$2:$H$60,6,0)</f>
        <v>- - -</v>
      </c>
      <c r="V57" s="307" t="s">
        <v>424</v>
      </c>
      <c r="W57" s="463" t="str">
        <f t="shared" si="48"/>
        <v>Giảng viên (hạng III)</v>
      </c>
      <c r="X57" s="303" t="str">
        <f t="shared" si="49"/>
        <v>V.07.01.03</v>
      </c>
      <c r="Y57" s="464" t="s">
        <v>430</v>
      </c>
      <c r="Z57" s="464" t="str">
        <f>VLOOKUP(Y57,'- DLiêu Gốc -'!$C$1:$H$133,2,0)</f>
        <v>V.07.01.03</v>
      </c>
      <c r="AA57" s="149" t="str">
        <f t="shared" si="50"/>
        <v>Lương</v>
      </c>
      <c r="AB57" s="142">
        <v>5</v>
      </c>
      <c r="AC57" s="173" t="s">
        <v>359</v>
      </c>
      <c r="AD57" s="39">
        <v>9</v>
      </c>
      <c r="AE57" s="465">
        <f t="shared" si="51"/>
        <v>3.66</v>
      </c>
      <c r="AF57" s="465"/>
      <c r="AG57" s="465"/>
      <c r="AH57" s="465"/>
      <c r="AI57" s="445" t="s">
        <v>359</v>
      </c>
      <c r="AJ57" s="465"/>
      <c r="AK57" s="445" t="s">
        <v>359</v>
      </c>
      <c r="AL57" s="406"/>
      <c r="AM57" s="174"/>
      <c r="AN57" s="172"/>
      <c r="AO57" s="454">
        <f t="shared" si="52"/>
        <v>6</v>
      </c>
      <c r="AP57" s="448" t="str">
        <f t="shared" si="53"/>
        <v>/</v>
      </c>
      <c r="AQ57" s="470">
        <f t="shared" si="54"/>
        <v>9</v>
      </c>
      <c r="AR57" s="448">
        <f t="shared" si="55"/>
        <v>3.99</v>
      </c>
      <c r="AS57" s="448"/>
      <c r="AT57" s="148" t="s">
        <v>341</v>
      </c>
      <c r="AU57" s="404" t="s">
        <v>359</v>
      </c>
      <c r="AV57" s="143" t="s">
        <v>341</v>
      </c>
      <c r="AW57" s="404" t="s">
        <v>359</v>
      </c>
      <c r="AX57" s="46">
        <v>2021</v>
      </c>
      <c r="AY57" s="123"/>
      <c r="AZ57" s="388"/>
      <c r="BA57" s="478">
        <v>1.18</v>
      </c>
      <c r="BB57" s="479">
        <f t="shared" si="56"/>
        <v>3</v>
      </c>
      <c r="BC57" s="480">
        <f t="shared" si="57"/>
        <v>-24253</v>
      </c>
      <c r="BD57" s="481">
        <f>VLOOKUP(Y57,'- DLiêu Gốc -'!$C$1:$F$60,3,0)</f>
        <v>2.34</v>
      </c>
      <c r="BE57" s="481">
        <f>VLOOKUP(Y57,'- DLiêu Gốc -'!$C$1:$F$60,4,0)</f>
        <v>0.33</v>
      </c>
      <c r="BF57" s="482" t="str">
        <f t="shared" si="58"/>
        <v>PCTN</v>
      </c>
      <c r="BG57" s="449">
        <v>13</v>
      </c>
      <c r="BH57" s="450" t="s">
        <v>332</v>
      </c>
      <c r="BI57" s="455" t="s">
        <v>341</v>
      </c>
      <c r="BJ57" s="474" t="s">
        <v>359</v>
      </c>
      <c r="BK57" s="752" t="s">
        <v>341</v>
      </c>
      <c r="BL57" s="474" t="s">
        <v>359</v>
      </c>
      <c r="BM57" s="178">
        <v>2020</v>
      </c>
      <c r="BN57" s="174"/>
      <c r="BO57" s="451"/>
      <c r="BP57" s="449">
        <f t="shared" si="59"/>
        <v>14</v>
      </c>
      <c r="BQ57" s="172" t="s">
        <v>332</v>
      </c>
      <c r="BR57" s="455" t="s">
        <v>341</v>
      </c>
      <c r="BS57" s="404" t="s">
        <v>359</v>
      </c>
      <c r="BT57" s="141" t="s">
        <v>341</v>
      </c>
      <c r="BU57" s="404" t="s">
        <v>359</v>
      </c>
      <c r="BV57" s="46">
        <v>2021</v>
      </c>
      <c r="BW57" s="144"/>
      <c r="BX57" s="485">
        <v>1</v>
      </c>
      <c r="BY57" s="486">
        <f t="shared" si="60"/>
        <v>-24253</v>
      </c>
      <c r="BZ57" s="482" t="str">
        <f t="shared" si="61"/>
        <v>- - -</v>
      </c>
      <c r="CA57" s="489" t="str">
        <f t="shared" si="62"/>
        <v>Chánh Văn phòng Học viện, Trưởng Ban Tổ chức - Cán bộ, Trưởng Khoa Văn bản và Công nghệ hành chính</v>
      </c>
      <c r="CB57" s="436" t="str">
        <f t="shared" si="63"/>
        <v>A</v>
      </c>
      <c r="CC57" s="149" t="str">
        <f t="shared" si="64"/>
        <v>=&gt; s</v>
      </c>
      <c r="CD57" s="149">
        <f t="shared" si="65"/>
        <v>24277</v>
      </c>
      <c r="CE57" s="146" t="str">
        <f t="shared" si="66"/>
        <v>S</v>
      </c>
      <c r="CF57" s="146">
        <v>2012</v>
      </c>
      <c r="CG57" s="303" t="s">
        <v>426</v>
      </c>
      <c r="CH57" s="146"/>
      <c r="CI57" s="753"/>
      <c r="CJ57" s="146" t="str">
        <f t="shared" si="67"/>
        <v>Cùg Ng</v>
      </c>
      <c r="CK57" s="147" t="str">
        <f t="shared" si="68"/>
        <v>- - -</v>
      </c>
      <c r="CL57" s="147"/>
      <c r="CM57" s="146"/>
      <c r="CN57" s="147"/>
      <c r="CO57" s="147"/>
      <c r="CP57" s="147" t="str">
        <f t="shared" si="69"/>
        <v>- - -</v>
      </c>
      <c r="CQ57" s="147"/>
      <c r="CR57" s="146"/>
      <c r="CS57" s="147"/>
      <c r="CT57" s="147"/>
      <c r="CU57" s="452" t="str">
        <f t="shared" si="70"/>
        <v>---</v>
      </c>
      <c r="CV57" s="495" t="str">
        <f t="shared" si="71"/>
        <v>/-/ /-/</v>
      </c>
      <c r="CW57" s="175">
        <f t="shared" si="72"/>
        <v>4</v>
      </c>
      <c r="CX57" s="175">
        <f t="shared" si="73"/>
        <v>2038</v>
      </c>
      <c r="CY57" s="175">
        <f t="shared" si="74"/>
        <v>1</v>
      </c>
      <c r="CZ57" s="175">
        <f t="shared" si="75"/>
        <v>2038</v>
      </c>
      <c r="DA57" s="175">
        <f t="shared" si="76"/>
        <v>10</v>
      </c>
      <c r="DB57" s="175">
        <f t="shared" si="77"/>
        <v>2037</v>
      </c>
      <c r="DC57" s="453" t="str">
        <f t="shared" si="78"/>
        <v>- - -</v>
      </c>
      <c r="DD57" s="496" t="str">
        <f t="shared" si="79"/>
        <v>. .</v>
      </c>
      <c r="DE57" s="497"/>
      <c r="DF57" s="149">
        <f t="shared" si="80"/>
        <v>660</v>
      </c>
      <c r="DG57" s="149">
        <f t="shared" si="81"/>
        <v>-23787</v>
      </c>
      <c r="DH57" s="149">
        <f t="shared" si="82"/>
        <v>-1983</v>
      </c>
      <c r="DI57" s="149" t="str">
        <f t="shared" si="83"/>
        <v>Nữ dưới 30</v>
      </c>
      <c r="DJ57" s="149"/>
      <c r="DK57" s="149"/>
      <c r="DL57" s="482" t="str">
        <f t="shared" si="84"/>
        <v>Đến 30</v>
      </c>
      <c r="DM57" s="147" t="str">
        <f t="shared" si="85"/>
        <v>TD</v>
      </c>
      <c r="DN57" s="146">
        <v>2012</v>
      </c>
      <c r="DO57" s="146"/>
      <c r="DP57" s="146"/>
      <c r="DQ57" s="146"/>
      <c r="DR57" s="147"/>
      <c r="DS57" s="147"/>
      <c r="DT57" s="173"/>
      <c r="DU57" s="502"/>
      <c r="DV57" s="123"/>
      <c r="DW57" s="123" t="s">
        <v>316</v>
      </c>
      <c r="DX57" s="462" t="s">
        <v>119</v>
      </c>
      <c r="DY57" s="123" t="s">
        <v>316</v>
      </c>
      <c r="DZ57" s="148" t="s">
        <v>341</v>
      </c>
      <c r="EA57" s="143" t="s">
        <v>359</v>
      </c>
      <c r="EB57" s="143" t="s">
        <v>341</v>
      </c>
      <c r="EC57" s="143" t="s">
        <v>359</v>
      </c>
      <c r="ED57" s="176">
        <v>2012</v>
      </c>
      <c r="EE57" s="143">
        <f t="shared" si="86"/>
        <v>0</v>
      </c>
      <c r="EF57" s="146" t="str">
        <f t="shared" si="87"/>
        <v>- - -</v>
      </c>
      <c r="EG57" s="148" t="s">
        <v>341</v>
      </c>
      <c r="EH57" s="143" t="s">
        <v>359</v>
      </c>
      <c r="EI57" s="143" t="s">
        <v>341</v>
      </c>
      <c r="EJ57" s="143" t="s">
        <v>359</v>
      </c>
      <c r="EK57" s="176">
        <v>2012</v>
      </c>
      <c r="EL57" s="146"/>
      <c r="EM57" s="147" t="str">
        <f t="shared" si="88"/>
        <v>- - -</v>
      </c>
      <c r="EN57" s="453" t="str">
        <f t="shared" si="89"/>
        <v>---</v>
      </c>
      <c r="EO57" s="123"/>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row>
    <row r="58" spans="1:174" s="121" customFormat="1" ht="11.25" customHeight="1" x14ac:dyDescent="0.2">
      <c r="A58" s="100">
        <v>444</v>
      </c>
      <c r="B58" s="296">
        <v>430</v>
      </c>
      <c r="C58" s="31"/>
      <c r="D58" s="31" t="str">
        <f t="shared" si="45"/>
        <v>Bà</v>
      </c>
      <c r="E58" s="168" t="s">
        <v>135</v>
      </c>
      <c r="F58" s="167" t="s">
        <v>380</v>
      </c>
      <c r="G58" s="514" t="s">
        <v>274</v>
      </c>
      <c r="H58" s="515" t="s">
        <v>359</v>
      </c>
      <c r="I58" s="514" t="s">
        <v>370</v>
      </c>
      <c r="J58" s="515" t="s">
        <v>359</v>
      </c>
      <c r="K58" s="168">
        <v>1983</v>
      </c>
      <c r="L58" s="157" t="s">
        <v>451</v>
      </c>
      <c r="M58" s="526" t="str">
        <f t="shared" si="46"/>
        <v>VC</v>
      </c>
      <c r="N58" s="163"/>
      <c r="O58" s="509" t="e">
        <f t="shared" si="47"/>
        <v>#N/A</v>
      </c>
      <c r="P58" s="37"/>
      <c r="Q58" s="296" t="e">
        <f>VLOOKUP(P58,'[1]- DLiêu Gốc (Không sửa)'!$C$2:$H$116,2,0)</f>
        <v>#N/A</v>
      </c>
      <c r="R58" s="37" t="s">
        <v>64</v>
      </c>
      <c r="S58" s="190" t="s">
        <v>117</v>
      </c>
      <c r="T58" s="35" t="str">
        <f>VLOOKUP(Y58,'- DLiêu Gốc -'!$C$2:$H$60,5,0)</f>
        <v>A1</v>
      </c>
      <c r="U58" s="36" t="str">
        <f>VLOOKUP(Y58,'- DLiêu Gốc -'!$C$2:$H$60,6,0)</f>
        <v>- - -</v>
      </c>
      <c r="V58" s="537" t="s">
        <v>615</v>
      </c>
      <c r="W58" s="413" t="str">
        <f t="shared" si="48"/>
        <v>Giảng viên (hạng III)</v>
      </c>
      <c r="X58" s="187" t="str">
        <f t="shared" si="49"/>
        <v>V.07.01.03</v>
      </c>
      <c r="Y58" s="317" t="s">
        <v>430</v>
      </c>
      <c r="Z58" s="414" t="str">
        <f>VLOOKUP(Y58,'- DLiêu Gốc -'!$C$1:$H$133,2,0)</f>
        <v>V.07.01.03</v>
      </c>
      <c r="AA58" s="48" t="str">
        <f t="shared" si="50"/>
        <v>Lương</v>
      </c>
      <c r="AB58" s="139">
        <v>3</v>
      </c>
      <c r="AC58" s="407" t="str">
        <f>IF(AD58&gt;0,"/")</f>
        <v>/</v>
      </c>
      <c r="AD58" s="39">
        <f>IF(OR(BE58=0.18,BE58=0.2),12,IF(BE58=0.31,10,IF(BE58=0.33,9,IF(BE58=0.34,8,IF(BE58=0.36,6)))))</f>
        <v>9</v>
      </c>
      <c r="AE58" s="40">
        <f t="shared" si="51"/>
        <v>3</v>
      </c>
      <c r="AF58" s="329"/>
      <c r="AG58" s="102"/>
      <c r="AH58" s="44" t="s">
        <v>341</v>
      </c>
      <c r="AI58" s="445" t="s">
        <v>359</v>
      </c>
      <c r="AJ58" s="45" t="s">
        <v>341</v>
      </c>
      <c r="AK58" s="405" t="s">
        <v>359</v>
      </c>
      <c r="AL58" s="46">
        <v>2016</v>
      </c>
      <c r="AM58" s="126"/>
      <c r="AN58" s="49"/>
      <c r="AO58" s="249">
        <f t="shared" si="52"/>
        <v>4</v>
      </c>
      <c r="AP58" s="185" t="str">
        <f t="shared" si="53"/>
        <v>/</v>
      </c>
      <c r="AQ58" s="80">
        <f t="shared" si="54"/>
        <v>9</v>
      </c>
      <c r="AR58" s="43">
        <f t="shared" si="55"/>
        <v>3.33</v>
      </c>
      <c r="AS58" s="333"/>
      <c r="AT58" s="44" t="s">
        <v>341</v>
      </c>
      <c r="AU58" s="404" t="s">
        <v>359</v>
      </c>
      <c r="AV58" s="45" t="s">
        <v>341</v>
      </c>
      <c r="AW58" s="395" t="s">
        <v>359</v>
      </c>
      <c r="AX58" s="46">
        <v>2019</v>
      </c>
      <c r="AY58" s="84"/>
      <c r="AZ58" s="191" t="s">
        <v>649</v>
      </c>
      <c r="BA58" s="392"/>
      <c r="BB58" s="47">
        <f t="shared" si="56"/>
        <v>3</v>
      </c>
      <c r="BC58" s="253">
        <f t="shared" si="57"/>
        <v>-24229</v>
      </c>
      <c r="BD58" s="205">
        <f>VLOOKUP(Y58,'- DLiêu Gốc -'!$C$1:$F$60,3,0)</f>
        <v>2.34</v>
      </c>
      <c r="BE58" s="205">
        <f>VLOOKUP(Y58,'- DLiêu Gốc -'!$C$1:$F$60,4,0)</f>
        <v>0.33</v>
      </c>
      <c r="BF58" s="53" t="str">
        <f t="shared" si="58"/>
        <v>PCTN</v>
      </c>
      <c r="BG58" s="54">
        <v>10</v>
      </c>
      <c r="BH58" s="343" t="s">
        <v>332</v>
      </c>
      <c r="BI58" s="56" t="s">
        <v>341</v>
      </c>
      <c r="BJ58" s="400" t="s">
        <v>359</v>
      </c>
      <c r="BK58" s="341" t="s">
        <v>341</v>
      </c>
      <c r="BL58" s="400" t="s">
        <v>359</v>
      </c>
      <c r="BM58" s="178">
        <v>2020</v>
      </c>
      <c r="BN58" s="126"/>
      <c r="BO58" s="58"/>
      <c r="BP58" s="55">
        <f t="shared" si="59"/>
        <v>11</v>
      </c>
      <c r="BQ58" s="346" t="s">
        <v>332</v>
      </c>
      <c r="BR58" s="56" t="s">
        <v>341</v>
      </c>
      <c r="BS58" s="395"/>
      <c r="BT58" s="339" t="s">
        <v>341</v>
      </c>
      <c r="BU58" s="395"/>
      <c r="BV58" s="46">
        <v>2021</v>
      </c>
      <c r="BW58" s="57"/>
      <c r="BX58" s="125">
        <v>1</v>
      </c>
      <c r="BY58" s="254">
        <f t="shared" si="60"/>
        <v>-24253</v>
      </c>
      <c r="BZ58" s="53" t="str">
        <f t="shared" si="61"/>
        <v>- - -</v>
      </c>
      <c r="CA58" s="316" t="str">
        <f t="shared" si="62"/>
        <v>Chánh Văn phòng Học viện, Trưởng Ban Tổ chức - Cán bộ, Trưởng Ban Hợp tác quốc tế</v>
      </c>
      <c r="CB58" s="59" t="str">
        <f t="shared" si="63"/>
        <v>A</v>
      </c>
      <c r="CC58" s="38" t="str">
        <f t="shared" si="64"/>
        <v>=&gt; s</v>
      </c>
      <c r="CD58" s="48">
        <f t="shared" si="65"/>
        <v>24253</v>
      </c>
      <c r="CE58" s="31" t="str">
        <f t="shared" si="66"/>
        <v>---</v>
      </c>
      <c r="CF58" s="31"/>
      <c r="CG58" s="303"/>
      <c r="CH58" s="31"/>
      <c r="CI58" s="105"/>
      <c r="CJ58" s="31" t="str">
        <f t="shared" si="67"/>
        <v>- - -</v>
      </c>
      <c r="CK58" s="51" t="str">
        <f t="shared" si="68"/>
        <v>- - -</v>
      </c>
      <c r="CL58" s="61"/>
      <c r="CM58" s="62"/>
      <c r="CN58" s="61"/>
      <c r="CO58" s="76"/>
      <c r="CP58" s="51" t="str">
        <f t="shared" si="69"/>
        <v>- - -</v>
      </c>
      <c r="CQ58" s="61"/>
      <c r="CR58" s="62"/>
      <c r="CS58" s="61"/>
      <c r="CT58" s="76"/>
      <c r="CU58" s="65" t="str">
        <f t="shared" si="70"/>
        <v>---</v>
      </c>
      <c r="CV58" s="66" t="str">
        <f t="shared" si="71"/>
        <v>/-/ /-/</v>
      </c>
      <c r="CW58" s="63">
        <f t="shared" si="72"/>
        <v>11</v>
      </c>
      <c r="CX58" s="64">
        <f t="shared" si="73"/>
        <v>2038</v>
      </c>
      <c r="CY58" s="63">
        <f t="shared" si="74"/>
        <v>8</v>
      </c>
      <c r="CZ58" s="64">
        <f t="shared" si="75"/>
        <v>2038</v>
      </c>
      <c r="DA58" s="63">
        <f t="shared" si="76"/>
        <v>5</v>
      </c>
      <c r="DB58" s="64">
        <f t="shared" si="77"/>
        <v>2038</v>
      </c>
      <c r="DC58" s="67" t="str">
        <f t="shared" si="78"/>
        <v>- - -</v>
      </c>
      <c r="DD58" s="68" t="str">
        <f t="shared" si="79"/>
        <v>. .</v>
      </c>
      <c r="DE58" s="68"/>
      <c r="DF58" s="48">
        <f t="shared" si="80"/>
        <v>660</v>
      </c>
      <c r="DG58" s="48">
        <f t="shared" si="81"/>
        <v>-23794</v>
      </c>
      <c r="DH58" s="48">
        <f t="shared" si="82"/>
        <v>-1983</v>
      </c>
      <c r="DI58" s="48" t="str">
        <f t="shared" si="83"/>
        <v>Nữ dưới 30</v>
      </c>
      <c r="DJ58" s="48"/>
      <c r="DK58" s="48"/>
      <c r="DL58" s="53" t="str">
        <f t="shared" si="84"/>
        <v>Đến 30</v>
      </c>
      <c r="DM58" s="61"/>
      <c r="DN58" s="32" t="str">
        <f>IF(CK58&gt;0,"TD","--")</f>
        <v>TD</v>
      </c>
      <c r="DO58" s="31"/>
      <c r="DP58" s="69"/>
      <c r="DQ58" s="32"/>
      <c r="DR58" s="76"/>
      <c r="DS58" s="77"/>
      <c r="DT58" s="78"/>
      <c r="DU58" s="71"/>
      <c r="DV58" s="84"/>
      <c r="DW58" s="33"/>
      <c r="DX58" s="315" t="s">
        <v>120</v>
      </c>
      <c r="DY58" s="33"/>
      <c r="DZ58" s="44" t="s">
        <v>341</v>
      </c>
      <c r="EA58" s="45" t="s">
        <v>359</v>
      </c>
      <c r="EB58" s="143" t="s">
        <v>341</v>
      </c>
      <c r="EC58" s="45" t="s">
        <v>359</v>
      </c>
      <c r="ED58" s="72">
        <v>2013</v>
      </c>
      <c r="EE58" s="45">
        <f t="shared" si="86"/>
        <v>0</v>
      </c>
      <c r="EF58" s="73" t="str">
        <f t="shared" si="87"/>
        <v>- - -</v>
      </c>
      <c r="EG58" s="44" t="s">
        <v>341</v>
      </c>
      <c r="EH58" s="45" t="s">
        <v>359</v>
      </c>
      <c r="EI58" s="143" t="s">
        <v>341</v>
      </c>
      <c r="EJ58" s="45" t="s">
        <v>359</v>
      </c>
      <c r="EK58" s="72">
        <v>2013</v>
      </c>
      <c r="EL58" s="31"/>
      <c r="EM58" s="51" t="str">
        <f t="shared" si="88"/>
        <v>- - -</v>
      </c>
      <c r="EN58" s="74" t="str">
        <f t="shared" si="89"/>
        <v>---</v>
      </c>
      <c r="EO58" s="84"/>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row>
    <row r="59" spans="1:174" s="75" customFormat="1" ht="11.25" customHeight="1" x14ac:dyDescent="0.2">
      <c r="A59" s="100">
        <v>451</v>
      </c>
      <c r="B59" s="434">
        <v>457</v>
      </c>
      <c r="C59" s="31"/>
      <c r="D59" s="31" t="str">
        <f t="shared" si="45"/>
        <v>Ông</v>
      </c>
      <c r="E59" s="37" t="s">
        <v>54</v>
      </c>
      <c r="F59" s="31" t="s">
        <v>378</v>
      </c>
      <c r="G59" s="60" t="s">
        <v>268</v>
      </c>
      <c r="H59" s="508" t="s">
        <v>359</v>
      </c>
      <c r="I59" s="60" t="s">
        <v>345</v>
      </c>
      <c r="J59" s="508" t="s">
        <v>359</v>
      </c>
      <c r="K59" s="37" t="s">
        <v>0</v>
      </c>
      <c r="L59" s="157" t="s">
        <v>451</v>
      </c>
      <c r="M59" s="526" t="str">
        <f t="shared" si="46"/>
        <v>VC</v>
      </c>
      <c r="N59" s="163"/>
      <c r="O59" s="509" t="e">
        <f t="shared" si="47"/>
        <v>#N/A</v>
      </c>
      <c r="P59" s="37"/>
      <c r="Q59" s="296" t="e">
        <f>VLOOKUP(P59,'[1]- DLiêu Gốc (Không sửa)'!$C$2:$H$116,2,0)</f>
        <v>#N/A</v>
      </c>
      <c r="R59" s="37" t="s">
        <v>602</v>
      </c>
      <c r="S59" s="190" t="s">
        <v>119</v>
      </c>
      <c r="T59" s="35" t="str">
        <f>VLOOKUP(Y59,'- DLiêu Gốc -'!$C$2:$H$60,5,0)</f>
        <v>A1</v>
      </c>
      <c r="U59" s="36" t="str">
        <f>VLOOKUP(Y59,'- DLiêu Gốc -'!$C$2:$H$60,6,0)</f>
        <v>- - -</v>
      </c>
      <c r="V59" s="537" t="s">
        <v>424</v>
      </c>
      <c r="W59" s="295" t="str">
        <f t="shared" si="48"/>
        <v>Giảng viên (hạng III)</v>
      </c>
      <c r="X59" s="298" t="str">
        <f t="shared" si="49"/>
        <v>V.07.01.03</v>
      </c>
      <c r="Y59" s="317" t="s">
        <v>430</v>
      </c>
      <c r="Z59" s="317" t="str">
        <f>VLOOKUP(Y59,'- DLiêu Gốc -'!$C$1:$H$133,2,0)</f>
        <v>V.07.01.03</v>
      </c>
      <c r="AA59" s="48" t="str">
        <f t="shared" si="50"/>
        <v>Lương</v>
      </c>
      <c r="AB59" s="139">
        <v>6</v>
      </c>
      <c r="AC59" s="407" t="s">
        <v>359</v>
      </c>
      <c r="AD59" s="169">
        <f>IF(OR(BE59=0.18,BE59=0.2),12,IF(BE59=0.31,10,IF(BE59=0.33,9,IF(BE59=0.34,8,IF(BE59=0.36,6)))))</f>
        <v>9</v>
      </c>
      <c r="AE59" s="40">
        <v>3.99</v>
      </c>
      <c r="AF59" s="329"/>
      <c r="AG59" s="102"/>
      <c r="AH59" s="396" t="s">
        <v>341</v>
      </c>
      <c r="AI59" s="405" t="s">
        <v>359</v>
      </c>
      <c r="AJ59" s="102" t="s">
        <v>342</v>
      </c>
      <c r="AK59" s="405" t="s">
        <v>359</v>
      </c>
      <c r="AL59" s="406">
        <v>2017</v>
      </c>
      <c r="AM59" s="126"/>
      <c r="AN59" s="49"/>
      <c r="AO59" s="249">
        <f t="shared" si="52"/>
        <v>7</v>
      </c>
      <c r="AP59" s="185" t="str">
        <f t="shared" si="53"/>
        <v>/</v>
      </c>
      <c r="AQ59" s="80">
        <f t="shared" si="54"/>
        <v>9</v>
      </c>
      <c r="AR59" s="43">
        <f t="shared" si="55"/>
        <v>4.32</v>
      </c>
      <c r="AS59" s="333"/>
      <c r="AT59" s="44" t="s">
        <v>341</v>
      </c>
      <c r="AU59" s="395" t="s">
        <v>359</v>
      </c>
      <c r="AV59" s="45" t="s">
        <v>342</v>
      </c>
      <c r="AW59" s="395" t="s">
        <v>359</v>
      </c>
      <c r="AX59" s="213">
        <v>2019</v>
      </c>
      <c r="AY59" s="84"/>
      <c r="AZ59" s="383" t="s">
        <v>621</v>
      </c>
      <c r="BA59" s="392"/>
      <c r="BB59" s="47">
        <f t="shared" si="56"/>
        <v>3</v>
      </c>
      <c r="BC59" s="253">
        <f t="shared" si="57"/>
        <v>-24230</v>
      </c>
      <c r="BD59" s="205">
        <f>VLOOKUP(Y59,'- DLiêu Gốc -'!$C$1:$F$60,3,0)</f>
        <v>2.34</v>
      </c>
      <c r="BE59" s="205">
        <f>VLOOKUP(Y59,'- DLiêu Gốc -'!$C$1:$F$60,4,0)</f>
        <v>0.33</v>
      </c>
      <c r="BF59" s="53" t="str">
        <f t="shared" si="58"/>
        <v>PCTN</v>
      </c>
      <c r="BG59" s="54">
        <v>15</v>
      </c>
      <c r="BH59" s="343" t="s">
        <v>332</v>
      </c>
      <c r="BI59" s="56" t="s">
        <v>341</v>
      </c>
      <c r="BJ59" s="400" t="s">
        <v>359</v>
      </c>
      <c r="BK59" s="341" t="s">
        <v>341</v>
      </c>
      <c r="BL59" s="400" t="s">
        <v>359</v>
      </c>
      <c r="BM59" s="178">
        <v>2020</v>
      </c>
      <c r="BN59" s="126"/>
      <c r="BO59" s="58"/>
      <c r="BP59" s="55">
        <f t="shared" si="59"/>
        <v>16</v>
      </c>
      <c r="BQ59" s="346" t="s">
        <v>332</v>
      </c>
      <c r="BR59" s="56" t="s">
        <v>341</v>
      </c>
      <c r="BS59" s="395" t="s">
        <v>359</v>
      </c>
      <c r="BT59" s="339" t="s">
        <v>341</v>
      </c>
      <c r="BU59" s="395" t="s">
        <v>359</v>
      </c>
      <c r="BV59" s="46">
        <v>2021</v>
      </c>
      <c r="BW59" s="57"/>
      <c r="BX59" s="125">
        <v>1</v>
      </c>
      <c r="BY59" s="254">
        <f t="shared" si="60"/>
        <v>-24253</v>
      </c>
      <c r="BZ59" s="53" t="str">
        <f t="shared" si="61"/>
        <v>- - -</v>
      </c>
      <c r="CA59" s="316" t="str">
        <f t="shared" si="62"/>
        <v>Chánh Văn phòng Học viện, Trưởng Ban Tổ chức - Cán bộ, Trưởng Khoa Văn bản và Công nghệ hành chính</v>
      </c>
      <c r="CB59" s="59" t="str">
        <f t="shared" si="63"/>
        <v>A</v>
      </c>
      <c r="CC59" s="38" t="str">
        <f t="shared" si="64"/>
        <v>=&gt; s</v>
      </c>
      <c r="CD59" s="48">
        <f t="shared" si="65"/>
        <v>24254</v>
      </c>
      <c r="CE59" s="31" t="str">
        <f t="shared" si="66"/>
        <v>---</v>
      </c>
      <c r="CF59" s="31"/>
      <c r="CG59" s="303"/>
      <c r="CH59" s="31"/>
      <c r="CI59" s="105"/>
      <c r="CJ59" s="31" t="str">
        <f t="shared" si="67"/>
        <v>- - -</v>
      </c>
      <c r="CK59" s="51" t="str">
        <f t="shared" si="68"/>
        <v>- - -</v>
      </c>
      <c r="CL59" s="61"/>
      <c r="CM59" s="62"/>
      <c r="CN59" s="61"/>
      <c r="CO59" s="76"/>
      <c r="CP59" s="51" t="str">
        <f t="shared" si="69"/>
        <v>- - -</v>
      </c>
      <c r="CQ59" s="61"/>
      <c r="CR59" s="62"/>
      <c r="CS59" s="61"/>
      <c r="CT59" s="76"/>
      <c r="CU59" s="65" t="str">
        <f t="shared" si="70"/>
        <v>---</v>
      </c>
      <c r="CV59" s="66" t="str">
        <f t="shared" si="71"/>
        <v>/-/ /-/</v>
      </c>
      <c r="CW59" s="63">
        <f t="shared" si="72"/>
        <v>9</v>
      </c>
      <c r="CX59" s="64">
        <f t="shared" si="73"/>
        <v>2036</v>
      </c>
      <c r="CY59" s="63">
        <f t="shared" si="74"/>
        <v>6</v>
      </c>
      <c r="CZ59" s="64">
        <f t="shared" si="75"/>
        <v>2036</v>
      </c>
      <c r="DA59" s="63">
        <f t="shared" si="76"/>
        <v>3</v>
      </c>
      <c r="DB59" s="64">
        <f t="shared" si="77"/>
        <v>2036</v>
      </c>
      <c r="DC59" s="67" t="str">
        <f t="shared" si="78"/>
        <v>- - -</v>
      </c>
      <c r="DD59" s="68" t="str">
        <f t="shared" si="79"/>
        <v>. .</v>
      </c>
      <c r="DE59" s="68"/>
      <c r="DF59" s="48">
        <f t="shared" si="80"/>
        <v>720</v>
      </c>
      <c r="DG59" s="48">
        <f t="shared" si="81"/>
        <v>-23708</v>
      </c>
      <c r="DH59" s="48">
        <f t="shared" si="82"/>
        <v>-1976</v>
      </c>
      <c r="DI59" s="48" t="str">
        <f t="shared" si="83"/>
        <v>Nam dưới 35</v>
      </c>
      <c r="DJ59" s="48"/>
      <c r="DK59" s="48"/>
      <c r="DL59" s="53" t="str">
        <f t="shared" si="84"/>
        <v>Đến 30</v>
      </c>
      <c r="DM59" s="61" t="str">
        <f>IF(DN59&gt;0,"TD","--")</f>
        <v>TD</v>
      </c>
      <c r="DN59" s="32">
        <v>2012</v>
      </c>
      <c r="DO59" s="31"/>
      <c r="DP59" s="69"/>
      <c r="DQ59" s="32"/>
      <c r="DR59" s="76"/>
      <c r="DS59" s="77"/>
      <c r="DT59" s="78"/>
      <c r="DU59" s="71"/>
      <c r="DV59" s="84"/>
      <c r="DW59" s="33"/>
      <c r="DX59" s="315" t="s">
        <v>361</v>
      </c>
      <c r="DY59" s="33"/>
      <c r="DZ59" s="44" t="s">
        <v>341</v>
      </c>
      <c r="EA59" s="45" t="s">
        <v>359</v>
      </c>
      <c r="EB59" s="45" t="s">
        <v>342</v>
      </c>
      <c r="EC59" s="45" t="s">
        <v>359</v>
      </c>
      <c r="ED59" s="72" t="s">
        <v>362</v>
      </c>
      <c r="EE59" s="45">
        <f t="shared" si="86"/>
        <v>0</v>
      </c>
      <c r="EF59" s="73" t="str">
        <f t="shared" si="87"/>
        <v>- - -</v>
      </c>
      <c r="EG59" s="44" t="s">
        <v>341</v>
      </c>
      <c r="EH59" s="45" t="s">
        <v>359</v>
      </c>
      <c r="EI59" s="45" t="s">
        <v>342</v>
      </c>
      <c r="EJ59" s="45" t="s">
        <v>359</v>
      </c>
      <c r="EK59" s="72" t="s">
        <v>362</v>
      </c>
      <c r="EL59" s="31"/>
      <c r="EM59" s="51" t="str">
        <f t="shared" si="88"/>
        <v>- - -</v>
      </c>
      <c r="EN59" s="74" t="str">
        <f t="shared" si="89"/>
        <v>---</v>
      </c>
      <c r="EO59" s="84"/>
    </row>
    <row r="60" spans="1:174" s="75" customFormat="1" ht="11.25" customHeight="1" x14ac:dyDescent="0.2">
      <c r="A60" s="100">
        <v>453</v>
      </c>
      <c r="B60" s="434">
        <v>459</v>
      </c>
      <c r="C60" s="31"/>
      <c r="D60" s="31" t="str">
        <f t="shared" si="45"/>
        <v>Bà</v>
      </c>
      <c r="E60" s="37" t="s">
        <v>3</v>
      </c>
      <c r="F60" s="31" t="s">
        <v>380</v>
      </c>
      <c r="G60" s="60" t="s">
        <v>382</v>
      </c>
      <c r="H60" s="508" t="s">
        <v>359</v>
      </c>
      <c r="I60" s="60" t="s">
        <v>342</v>
      </c>
      <c r="J60" s="508" t="s">
        <v>359</v>
      </c>
      <c r="K60" s="37">
        <v>1976</v>
      </c>
      <c r="L60" s="157" t="s">
        <v>451</v>
      </c>
      <c r="M60" s="526" t="str">
        <f t="shared" si="46"/>
        <v>VC</v>
      </c>
      <c r="N60" s="163"/>
      <c r="O60" s="509" t="e">
        <f t="shared" si="47"/>
        <v>#N/A</v>
      </c>
      <c r="P60" s="37"/>
      <c r="Q60" s="296" t="e">
        <f>VLOOKUP(P60,'[1]- DLiêu Gốc (Không sửa)'!$C$2:$H$116,2,0)</f>
        <v>#N/A</v>
      </c>
      <c r="R60" s="37" t="s">
        <v>602</v>
      </c>
      <c r="S60" s="190" t="s">
        <v>119</v>
      </c>
      <c r="T60" s="35" t="str">
        <f>VLOOKUP(Y60,'- DLiêu Gốc -'!$C$2:$H$60,5,0)</f>
        <v>A1</v>
      </c>
      <c r="U60" s="36" t="str">
        <f>VLOOKUP(Y60,'- DLiêu Gốc -'!$C$2:$H$60,6,0)</f>
        <v>- - -</v>
      </c>
      <c r="V60" s="537" t="s">
        <v>424</v>
      </c>
      <c r="W60" s="295" t="str">
        <f t="shared" si="48"/>
        <v>Giảng viên (hạng III)</v>
      </c>
      <c r="X60" s="298" t="str">
        <f t="shared" si="49"/>
        <v>V.07.01.03</v>
      </c>
      <c r="Y60" s="317" t="s">
        <v>430</v>
      </c>
      <c r="Z60" s="317" t="str">
        <f>VLOOKUP(Y60,'- DLiêu Gốc -'!$C$1:$H$133,2,0)</f>
        <v>V.07.01.03</v>
      </c>
      <c r="AA60" s="48" t="str">
        <f t="shared" si="50"/>
        <v>Lương</v>
      </c>
      <c r="AB60" s="139">
        <v>7</v>
      </c>
      <c r="AC60" s="407" t="s">
        <v>359</v>
      </c>
      <c r="AD60" s="39">
        <v>9</v>
      </c>
      <c r="AE60" s="40">
        <f>BD60+(AB60-1)*BE60</f>
        <v>4.32</v>
      </c>
      <c r="AF60" s="329"/>
      <c r="AG60" s="329"/>
      <c r="AH60" s="396"/>
      <c r="AI60" s="445" t="s">
        <v>359</v>
      </c>
      <c r="AJ60" s="102"/>
      <c r="AK60" s="405" t="s">
        <v>359</v>
      </c>
      <c r="AL60" s="406"/>
      <c r="AM60" s="126"/>
      <c r="AN60" s="49"/>
      <c r="AO60" s="249">
        <f t="shared" si="52"/>
        <v>8</v>
      </c>
      <c r="AP60" s="185" t="str">
        <f t="shared" si="53"/>
        <v>/</v>
      </c>
      <c r="AQ60" s="80">
        <f t="shared" si="54"/>
        <v>9</v>
      </c>
      <c r="AR60" s="43">
        <f t="shared" si="55"/>
        <v>4.6500000000000004</v>
      </c>
      <c r="AS60" s="43"/>
      <c r="AT60" s="44" t="s">
        <v>341</v>
      </c>
      <c r="AU60" s="404" t="s">
        <v>359</v>
      </c>
      <c r="AV60" s="45" t="s">
        <v>370</v>
      </c>
      <c r="AW60" s="395" t="s">
        <v>359</v>
      </c>
      <c r="AX60" s="46">
        <v>2020</v>
      </c>
      <c r="AY60" s="84"/>
      <c r="AZ60" s="383"/>
      <c r="BA60" s="392"/>
      <c r="BB60" s="47">
        <f t="shared" si="56"/>
        <v>3</v>
      </c>
      <c r="BC60" s="253">
        <f t="shared" si="57"/>
        <v>-24250</v>
      </c>
      <c r="BD60" s="205">
        <f>VLOOKUP(Y60,'- DLiêu Gốc -'!$C$1:$F$60,3,0)</f>
        <v>2.34</v>
      </c>
      <c r="BE60" s="205">
        <f>VLOOKUP(Y60,'- DLiêu Gốc -'!$C$1:$F$60,4,0)</f>
        <v>0.33</v>
      </c>
      <c r="BF60" s="53" t="str">
        <f t="shared" si="58"/>
        <v>PCTN</v>
      </c>
      <c r="BG60" s="54">
        <v>17</v>
      </c>
      <c r="BH60" s="343" t="s">
        <v>332</v>
      </c>
      <c r="BI60" s="56" t="s">
        <v>341</v>
      </c>
      <c r="BJ60" s="400" t="s">
        <v>359</v>
      </c>
      <c r="BK60" s="341" t="s">
        <v>341</v>
      </c>
      <c r="BL60" s="400" t="s">
        <v>359</v>
      </c>
      <c r="BM60" s="178">
        <v>2020</v>
      </c>
      <c r="BN60" s="126"/>
      <c r="BO60" s="58"/>
      <c r="BP60" s="55">
        <f t="shared" si="59"/>
        <v>18</v>
      </c>
      <c r="BQ60" s="346" t="s">
        <v>332</v>
      </c>
      <c r="BR60" s="56" t="s">
        <v>341</v>
      </c>
      <c r="BS60" s="395" t="s">
        <v>359</v>
      </c>
      <c r="BT60" s="339" t="s">
        <v>341</v>
      </c>
      <c r="BU60" s="395" t="s">
        <v>359</v>
      </c>
      <c r="BV60" s="46">
        <v>2021</v>
      </c>
      <c r="BW60" s="57"/>
      <c r="BX60" s="125">
        <v>1</v>
      </c>
      <c r="BY60" s="254">
        <f t="shared" si="60"/>
        <v>-24253</v>
      </c>
      <c r="BZ60" s="53" t="str">
        <f t="shared" si="61"/>
        <v>- - -</v>
      </c>
      <c r="CA60" s="316" t="str">
        <f t="shared" si="62"/>
        <v>Chánh Văn phòng Học viện, Trưởng Ban Tổ chức - Cán bộ, Trưởng Khoa Văn bản và Công nghệ hành chính</v>
      </c>
      <c r="CB60" s="59" t="str">
        <f t="shared" si="63"/>
        <v>A</v>
      </c>
      <c r="CC60" s="38" t="str">
        <f t="shared" si="64"/>
        <v>=&gt; s</v>
      </c>
      <c r="CD60" s="48">
        <f t="shared" si="65"/>
        <v>24274</v>
      </c>
      <c r="CE60" s="31" t="str">
        <f t="shared" si="66"/>
        <v>S</v>
      </c>
      <c r="CF60" s="31">
        <v>2017</v>
      </c>
      <c r="CG60" s="303"/>
      <c r="CH60" s="31"/>
      <c r="CI60" s="105"/>
      <c r="CJ60" s="31" t="str">
        <f t="shared" si="67"/>
        <v>- - -</v>
      </c>
      <c r="CK60" s="51" t="str">
        <f t="shared" si="68"/>
        <v>- - -</v>
      </c>
      <c r="CL60" s="61"/>
      <c r="CM60" s="62"/>
      <c r="CN60" s="61"/>
      <c r="CO60" s="76"/>
      <c r="CP60" s="51" t="str">
        <f t="shared" si="69"/>
        <v>- - -</v>
      </c>
      <c r="CQ60" s="61"/>
      <c r="CR60" s="62"/>
      <c r="CS60" s="61"/>
      <c r="CT60" s="76"/>
      <c r="CU60" s="65" t="str">
        <f t="shared" si="70"/>
        <v>---</v>
      </c>
      <c r="CV60" s="66" t="str">
        <f t="shared" si="71"/>
        <v>/-/ /-/</v>
      </c>
      <c r="CW60" s="63">
        <f t="shared" si="72"/>
        <v>3</v>
      </c>
      <c r="CX60" s="64">
        <f t="shared" si="73"/>
        <v>2031</v>
      </c>
      <c r="CY60" s="63">
        <f t="shared" si="74"/>
        <v>12</v>
      </c>
      <c r="CZ60" s="64">
        <f t="shared" si="75"/>
        <v>2030</v>
      </c>
      <c r="DA60" s="63">
        <f t="shared" si="76"/>
        <v>9</v>
      </c>
      <c r="DB60" s="64">
        <f t="shared" si="77"/>
        <v>2030</v>
      </c>
      <c r="DC60" s="67" t="str">
        <f t="shared" si="78"/>
        <v>- - -</v>
      </c>
      <c r="DD60" s="68" t="str">
        <f t="shared" si="79"/>
        <v>. .</v>
      </c>
      <c r="DE60" s="68"/>
      <c r="DF60" s="48">
        <f t="shared" si="80"/>
        <v>660</v>
      </c>
      <c r="DG60" s="48">
        <f t="shared" si="81"/>
        <v>-23702</v>
      </c>
      <c r="DH60" s="48">
        <f t="shared" si="82"/>
        <v>-1976</v>
      </c>
      <c r="DI60" s="48" t="str">
        <f t="shared" si="83"/>
        <v>Nữ dưới 30</v>
      </c>
      <c r="DJ60" s="48"/>
      <c r="DK60" s="48"/>
      <c r="DL60" s="53" t="str">
        <f t="shared" si="84"/>
        <v>Đến 30</v>
      </c>
      <c r="DM60" s="61" t="str">
        <f>IF(DN60&gt;0,"TD","--")</f>
        <v>--</v>
      </c>
      <c r="DN60" s="32"/>
      <c r="DO60" s="31"/>
      <c r="DP60" s="69"/>
      <c r="DQ60" s="32"/>
      <c r="DR60" s="76"/>
      <c r="DS60" s="77"/>
      <c r="DT60" s="78"/>
      <c r="DU60" s="71"/>
      <c r="DV60" s="84"/>
      <c r="DW60" s="33"/>
      <c r="DX60" s="315" t="s">
        <v>361</v>
      </c>
      <c r="DY60" s="33"/>
      <c r="DZ60" s="148" t="s">
        <v>341</v>
      </c>
      <c r="EA60" s="45" t="s">
        <v>359</v>
      </c>
      <c r="EB60" s="143" t="s">
        <v>376</v>
      </c>
      <c r="EC60" s="45" t="s">
        <v>359</v>
      </c>
      <c r="ED60" s="72">
        <v>2012</v>
      </c>
      <c r="EE60" s="45">
        <f t="shared" si="86"/>
        <v>0</v>
      </c>
      <c r="EF60" s="73" t="str">
        <f t="shared" si="87"/>
        <v>- - -</v>
      </c>
      <c r="EG60" s="148" t="s">
        <v>341</v>
      </c>
      <c r="EH60" s="45" t="s">
        <v>359</v>
      </c>
      <c r="EI60" s="143" t="s">
        <v>376</v>
      </c>
      <c r="EJ60" s="45" t="s">
        <v>359</v>
      </c>
      <c r="EK60" s="72">
        <v>2012</v>
      </c>
      <c r="EL60" s="31"/>
      <c r="EM60" s="51" t="str">
        <f t="shared" si="88"/>
        <v>- - -</v>
      </c>
      <c r="EN60" s="74" t="str">
        <f t="shared" si="89"/>
        <v>---</v>
      </c>
      <c r="EO60" s="84"/>
      <c r="FN60" s="554"/>
      <c r="FO60" s="554"/>
      <c r="FP60" s="554"/>
      <c r="FQ60" s="554"/>
      <c r="FR60" s="554"/>
    </row>
    <row r="61" spans="1:174" s="75" customFormat="1" ht="11.25" customHeight="1" x14ac:dyDescent="0.2">
      <c r="A61" s="100">
        <v>756</v>
      </c>
      <c r="B61" s="296">
        <v>39</v>
      </c>
      <c r="C61" s="31"/>
      <c r="D61" s="31" t="str">
        <f t="shared" si="45"/>
        <v>Ông</v>
      </c>
      <c r="E61" s="37" t="s">
        <v>69</v>
      </c>
      <c r="F61" s="31" t="s">
        <v>378</v>
      </c>
      <c r="G61" s="60" t="s">
        <v>349</v>
      </c>
      <c r="H61" s="508" t="s">
        <v>359</v>
      </c>
      <c r="I61" s="60" t="s">
        <v>344</v>
      </c>
      <c r="J61" s="508" t="s">
        <v>359</v>
      </c>
      <c r="K61" s="37" t="s">
        <v>8</v>
      </c>
      <c r="L61" s="157" t="s">
        <v>451</v>
      </c>
      <c r="M61" s="526" t="str">
        <f t="shared" si="46"/>
        <v>VC</v>
      </c>
      <c r="N61" s="163"/>
      <c r="O61" s="509" t="e">
        <f t="shared" si="47"/>
        <v>#N/A</v>
      </c>
      <c r="P61" s="37"/>
      <c r="Q61" s="296" t="e">
        <f>VLOOKUP(P61,'[1]- DLiêu Gốc (Không sửa)'!$C$2:$H$116,2,0)</f>
        <v>#N/A</v>
      </c>
      <c r="R61" s="37" t="s">
        <v>572</v>
      </c>
      <c r="S61" s="516" t="s">
        <v>569</v>
      </c>
      <c r="T61" s="35" t="str">
        <f>VLOOKUP(Y61,'- DLiêu Gốc -'!$C$2:$H$60,5,0)</f>
        <v>A1</v>
      </c>
      <c r="U61" s="36" t="str">
        <f>VLOOKUP(Y61,'- DLiêu Gốc -'!$C$2:$H$60,6,0)</f>
        <v>- - -</v>
      </c>
      <c r="V61" s="537" t="s">
        <v>425</v>
      </c>
      <c r="W61" s="295" t="str">
        <f t="shared" si="48"/>
        <v>Giáo viên trung học</v>
      </c>
      <c r="X61" s="298" t="str">
        <f t="shared" si="49"/>
        <v>15.113</v>
      </c>
      <c r="Y61" s="317" t="s">
        <v>311</v>
      </c>
      <c r="Z61" s="317" t="str">
        <f>VLOOKUP(Y61,'- DLiêu Gốc -'!$C$1:$H$133,2,0)</f>
        <v>15.113</v>
      </c>
      <c r="AA61" s="48" t="str">
        <f t="shared" si="50"/>
        <v>Lương</v>
      </c>
      <c r="AB61" s="117">
        <v>8</v>
      </c>
      <c r="AC61" s="407" t="str">
        <f>IF(AD61&gt;0,"/")</f>
        <v>/</v>
      </c>
      <c r="AD61" s="39">
        <f>IF(OR(BE61=0.18,BE61=0.2),12,IF(BE61=0.31,10,IF(BE61=0.33,9,IF(BE61=0.34,8,IF(BE61=0.36,6)))))</f>
        <v>9</v>
      </c>
      <c r="AE61" s="40">
        <f>BD61+(AB61-1)*BE61</f>
        <v>4.6500000000000004</v>
      </c>
      <c r="AF61" s="329"/>
      <c r="AG61" s="329"/>
      <c r="AH61" s="44" t="s">
        <v>341</v>
      </c>
      <c r="AI61" s="395" t="s">
        <v>359</v>
      </c>
      <c r="AJ61" s="45" t="s">
        <v>370</v>
      </c>
      <c r="AK61" s="395" t="s">
        <v>359</v>
      </c>
      <c r="AL61" s="46">
        <v>2015</v>
      </c>
      <c r="AM61" s="126"/>
      <c r="AN61" s="49"/>
      <c r="AO61" s="249">
        <f t="shared" si="52"/>
        <v>9</v>
      </c>
      <c r="AP61" s="185" t="str">
        <f t="shared" si="53"/>
        <v>/</v>
      </c>
      <c r="AQ61" s="80">
        <f t="shared" si="54"/>
        <v>9</v>
      </c>
      <c r="AR61" s="43">
        <f t="shared" si="55"/>
        <v>4.9800000000000004</v>
      </c>
      <c r="AS61" s="333"/>
      <c r="AT61" s="44" t="s">
        <v>341</v>
      </c>
      <c r="AU61" s="395" t="s">
        <v>359</v>
      </c>
      <c r="AV61" s="45" t="s">
        <v>370</v>
      </c>
      <c r="AW61" s="395" t="s">
        <v>359</v>
      </c>
      <c r="AX61" s="170">
        <v>2018</v>
      </c>
      <c r="AY61" s="84"/>
      <c r="AZ61" s="191"/>
      <c r="BA61" s="392"/>
      <c r="BB61" s="47">
        <f t="shared" si="56"/>
        <v>3</v>
      </c>
      <c r="BC61" s="253">
        <f t="shared" si="57"/>
        <v>-24226</v>
      </c>
      <c r="BD61" s="205">
        <f>VLOOKUP(Y61,'- DLiêu Gốc -'!$C$1:$F$60,3,0)</f>
        <v>2.34</v>
      </c>
      <c r="BE61" s="205">
        <f>VLOOKUP(Y61,'- DLiêu Gốc -'!$C$1:$F$60,4,0)</f>
        <v>0.33</v>
      </c>
      <c r="BF61" s="53" t="str">
        <f t="shared" si="58"/>
        <v>PCTN</v>
      </c>
      <c r="BG61" s="54">
        <v>32</v>
      </c>
      <c r="BH61" s="343" t="s">
        <v>332</v>
      </c>
      <c r="BI61" s="56" t="s">
        <v>341</v>
      </c>
      <c r="BJ61" s="400" t="s">
        <v>359</v>
      </c>
      <c r="BK61" s="341" t="s">
        <v>341</v>
      </c>
      <c r="BL61" s="400" t="s">
        <v>359</v>
      </c>
      <c r="BM61" s="178">
        <v>2020</v>
      </c>
      <c r="BN61" s="126"/>
      <c r="BO61" s="58"/>
      <c r="BP61" s="55">
        <f t="shared" si="59"/>
        <v>33</v>
      </c>
      <c r="BQ61" s="346" t="s">
        <v>332</v>
      </c>
      <c r="BR61" s="56" t="s">
        <v>341</v>
      </c>
      <c r="BS61" s="395" t="s">
        <v>359</v>
      </c>
      <c r="BT61" s="339" t="s">
        <v>341</v>
      </c>
      <c r="BU61" s="395" t="s">
        <v>359</v>
      </c>
      <c r="BV61" s="46">
        <v>2021</v>
      </c>
      <c r="BW61" s="57"/>
      <c r="BX61" s="125">
        <v>1</v>
      </c>
      <c r="BY61" s="254">
        <f t="shared" si="60"/>
        <v>-24253</v>
      </c>
      <c r="BZ61" s="53" t="str">
        <f t="shared" si="61"/>
        <v>- - -</v>
      </c>
      <c r="CA61" s="316" t="str">
        <f t="shared" si="62"/>
        <v>Chánh Văn phòng Học viện, Trưởng Ban Tổ chức - Cán bộ, Trưởng Phân viện Học viện Hành chính Quốc gia khu vực Tây Nguyên</v>
      </c>
      <c r="CB61" s="59" t="str">
        <f t="shared" si="63"/>
        <v>A</v>
      </c>
      <c r="CC61" s="38" t="str">
        <f t="shared" si="64"/>
        <v>=&gt; s</v>
      </c>
      <c r="CD61" s="48">
        <f t="shared" si="65"/>
        <v>24250</v>
      </c>
      <c r="CE61" s="31" t="str">
        <f t="shared" si="66"/>
        <v>---</v>
      </c>
      <c r="CF61" s="31"/>
      <c r="CG61" s="303"/>
      <c r="CH61" s="31"/>
      <c r="CI61" s="105"/>
      <c r="CJ61" s="31" t="str">
        <f t="shared" si="67"/>
        <v>- - -</v>
      </c>
      <c r="CK61" s="51" t="str">
        <f t="shared" si="68"/>
        <v>- - -</v>
      </c>
      <c r="CL61" s="61"/>
      <c r="CM61" s="62"/>
      <c r="CN61" s="61"/>
      <c r="CO61" s="76"/>
      <c r="CP61" s="51" t="str">
        <f t="shared" si="69"/>
        <v>- - -</v>
      </c>
      <c r="CQ61" s="61"/>
      <c r="CR61" s="62"/>
      <c r="CS61" s="61"/>
      <c r="CT61" s="76"/>
      <c r="CU61" s="65" t="str">
        <f t="shared" si="70"/>
        <v>---</v>
      </c>
      <c r="CV61" s="66" t="str">
        <f t="shared" si="71"/>
        <v>/-/ /-/</v>
      </c>
      <c r="CW61" s="63">
        <f t="shared" si="72"/>
        <v>7</v>
      </c>
      <c r="CX61" s="64">
        <f t="shared" si="73"/>
        <v>2023</v>
      </c>
      <c r="CY61" s="63">
        <f t="shared" si="74"/>
        <v>4</v>
      </c>
      <c r="CZ61" s="64">
        <f t="shared" si="75"/>
        <v>2023</v>
      </c>
      <c r="DA61" s="63">
        <f t="shared" si="76"/>
        <v>1</v>
      </c>
      <c r="DB61" s="64">
        <f t="shared" si="77"/>
        <v>2023</v>
      </c>
      <c r="DC61" s="67" t="str">
        <f t="shared" si="78"/>
        <v>- - -</v>
      </c>
      <c r="DD61" s="68" t="str">
        <f t="shared" si="79"/>
        <v>. .</v>
      </c>
      <c r="DE61" s="68"/>
      <c r="DF61" s="48">
        <f t="shared" si="80"/>
        <v>720</v>
      </c>
      <c r="DG61" s="48">
        <f t="shared" si="81"/>
        <v>-23550</v>
      </c>
      <c r="DH61" s="48">
        <f t="shared" si="82"/>
        <v>-1963</v>
      </c>
      <c r="DI61" s="48" t="str">
        <f t="shared" si="83"/>
        <v>Nam dưới 35</v>
      </c>
      <c r="DJ61" s="48"/>
      <c r="DK61" s="48"/>
      <c r="DL61" s="53" t="str">
        <f t="shared" si="84"/>
        <v>Đến 30</v>
      </c>
      <c r="DM61" s="61" t="str">
        <f>IF(DN61&gt;0,"TD","--")</f>
        <v>--</v>
      </c>
      <c r="DN61" s="32"/>
      <c r="DO61" s="31"/>
      <c r="DP61" s="69"/>
      <c r="DQ61" s="32"/>
      <c r="DR61" s="76"/>
      <c r="DS61" s="77"/>
      <c r="DT61" s="78"/>
      <c r="DU61" s="71"/>
      <c r="DV61" s="84"/>
      <c r="DW61" s="184" t="s">
        <v>70</v>
      </c>
      <c r="DX61" s="315" t="s">
        <v>138</v>
      </c>
      <c r="DY61" s="33" t="s">
        <v>201</v>
      </c>
      <c r="DZ61" s="44" t="s">
        <v>341</v>
      </c>
      <c r="EA61" s="45" t="s">
        <v>359</v>
      </c>
      <c r="EB61" s="45" t="s">
        <v>370</v>
      </c>
      <c r="EC61" s="45" t="s">
        <v>359</v>
      </c>
      <c r="ED61" s="72">
        <v>2012</v>
      </c>
      <c r="EE61" s="45">
        <f t="shared" si="86"/>
        <v>0</v>
      </c>
      <c r="EF61" s="73" t="str">
        <f t="shared" si="87"/>
        <v>- - -</v>
      </c>
      <c r="EG61" s="44" t="s">
        <v>341</v>
      </c>
      <c r="EH61" s="45" t="s">
        <v>359</v>
      </c>
      <c r="EI61" s="45" t="s">
        <v>370</v>
      </c>
      <c r="EJ61" s="45" t="s">
        <v>359</v>
      </c>
      <c r="EK61" s="72">
        <v>2012</v>
      </c>
      <c r="EL61" s="31"/>
      <c r="EM61" s="51" t="str">
        <f t="shared" si="88"/>
        <v>- - -</v>
      </c>
      <c r="EN61" s="74" t="str">
        <f t="shared" si="89"/>
        <v>---</v>
      </c>
      <c r="EO61" s="84"/>
    </row>
    <row r="62" spans="1:174" s="75" customFormat="1" ht="11.25" customHeight="1" x14ac:dyDescent="0.2">
      <c r="A62" s="100">
        <v>330</v>
      </c>
      <c r="B62" s="296">
        <v>374</v>
      </c>
      <c r="C62" s="31"/>
      <c r="D62" s="31" t="s">
        <v>134</v>
      </c>
      <c r="E62" s="37" t="s">
        <v>40</v>
      </c>
      <c r="F62" s="31" t="s">
        <v>380</v>
      </c>
      <c r="G62" s="60" t="s">
        <v>271</v>
      </c>
      <c r="H62" s="508" t="s">
        <v>359</v>
      </c>
      <c r="I62" s="60" t="s">
        <v>346</v>
      </c>
      <c r="J62" s="508" t="s">
        <v>359</v>
      </c>
      <c r="K62" s="37">
        <v>1988</v>
      </c>
      <c r="L62" s="157" t="s">
        <v>451</v>
      </c>
      <c r="M62" s="526" t="s">
        <v>455</v>
      </c>
      <c r="N62" s="163"/>
      <c r="O62" s="509" t="e">
        <v>#N/A</v>
      </c>
      <c r="P62" s="37"/>
      <c r="Q62" s="296" t="e">
        <v>#N/A</v>
      </c>
      <c r="R62" s="37" t="s">
        <v>316</v>
      </c>
      <c r="S62" s="190" t="s">
        <v>119</v>
      </c>
      <c r="T62" s="35" t="s">
        <v>94</v>
      </c>
      <c r="U62" s="36" t="s">
        <v>205</v>
      </c>
      <c r="V62" s="537" t="s">
        <v>424</v>
      </c>
      <c r="W62" s="295" t="s">
        <v>430</v>
      </c>
      <c r="X62" s="298" t="s">
        <v>426</v>
      </c>
      <c r="Y62" s="317" t="s">
        <v>430</v>
      </c>
      <c r="Z62" s="317" t="s">
        <v>426</v>
      </c>
      <c r="AA62" s="48" t="s">
        <v>410</v>
      </c>
      <c r="AB62" s="139">
        <v>3</v>
      </c>
      <c r="AC62" s="407" t="s">
        <v>359</v>
      </c>
      <c r="AD62" s="39">
        <v>9</v>
      </c>
      <c r="AE62" s="40">
        <v>3</v>
      </c>
      <c r="AF62" s="329"/>
      <c r="AG62" s="102"/>
      <c r="AH62" s="396" t="s">
        <v>341</v>
      </c>
      <c r="AI62" s="445" t="s">
        <v>359</v>
      </c>
      <c r="AJ62" s="102" t="s">
        <v>349</v>
      </c>
      <c r="AK62" s="405" t="s">
        <v>359</v>
      </c>
      <c r="AL62" s="406">
        <v>2017</v>
      </c>
      <c r="AM62" s="126"/>
      <c r="AN62" s="49"/>
      <c r="AO62" s="249">
        <v>4</v>
      </c>
      <c r="AP62" s="185" t="s">
        <v>359</v>
      </c>
      <c r="AQ62" s="80">
        <v>9</v>
      </c>
      <c r="AR62" s="43">
        <v>3.33</v>
      </c>
      <c r="AS62" s="333"/>
      <c r="AT62" s="44" t="s">
        <v>341</v>
      </c>
      <c r="AU62" s="404" t="s">
        <v>359</v>
      </c>
      <c r="AV62" s="45" t="s">
        <v>11</v>
      </c>
      <c r="AW62" s="395" t="s">
        <v>359</v>
      </c>
      <c r="AX62" s="46">
        <v>2020</v>
      </c>
      <c r="AY62" s="84"/>
      <c r="AZ62" s="383" t="s">
        <v>643</v>
      </c>
      <c r="BA62" s="392"/>
      <c r="BB62" s="47">
        <v>3</v>
      </c>
      <c r="BC62" s="253">
        <v>6</v>
      </c>
      <c r="BD62" s="205">
        <v>2.34</v>
      </c>
      <c r="BE62" s="205">
        <v>0.33</v>
      </c>
      <c r="BF62" s="53" t="s">
        <v>411</v>
      </c>
      <c r="BG62" s="54">
        <v>8</v>
      </c>
      <c r="BH62" s="343" t="s">
        <v>332</v>
      </c>
      <c r="BI62" s="342"/>
      <c r="BJ62" s="400"/>
      <c r="BK62" s="336"/>
      <c r="BL62" s="400"/>
      <c r="BM62" s="101">
        <v>2019</v>
      </c>
      <c r="BN62" s="126"/>
      <c r="BO62" s="58"/>
      <c r="BP62" s="55">
        <v>9</v>
      </c>
      <c r="BQ62" s="346" t="s">
        <v>332</v>
      </c>
      <c r="BR62" s="56" t="s">
        <v>341</v>
      </c>
      <c r="BS62" s="339" t="s">
        <v>349</v>
      </c>
      <c r="BT62" s="395" t="s">
        <v>359</v>
      </c>
      <c r="BU62" s="178">
        <v>2020</v>
      </c>
      <c r="BV62" s="178"/>
      <c r="BW62" s="57" t="s">
        <v>647</v>
      </c>
      <c r="BX62" s="125"/>
      <c r="BY62" s="254">
        <v>0</v>
      </c>
      <c r="BZ62" s="53" t="s">
        <v>205</v>
      </c>
      <c r="CA62" s="316" t="s">
        <v>613</v>
      </c>
      <c r="CB62" s="59" t="s">
        <v>360</v>
      </c>
      <c r="CC62" s="38" t="s">
        <v>263</v>
      </c>
      <c r="CD62" s="48">
        <v>66</v>
      </c>
      <c r="CE62" s="31" t="s">
        <v>105</v>
      </c>
      <c r="CF62" s="31"/>
      <c r="CG62" s="306"/>
      <c r="CH62" s="31"/>
      <c r="CI62" s="93"/>
      <c r="CJ62" s="31" t="s">
        <v>205</v>
      </c>
      <c r="CK62" s="51" t="s">
        <v>205</v>
      </c>
      <c r="CL62" s="61"/>
      <c r="CM62" s="62"/>
      <c r="CN62" s="61"/>
      <c r="CO62" s="76"/>
      <c r="CP62" s="51" t="s">
        <v>205</v>
      </c>
      <c r="CQ62" s="61"/>
      <c r="CR62" s="62"/>
      <c r="CS62" s="61"/>
      <c r="CT62" s="76"/>
      <c r="CU62" s="65" t="s">
        <v>105</v>
      </c>
      <c r="CV62" s="66" t="s">
        <v>45</v>
      </c>
      <c r="CW62" s="63">
        <v>4</v>
      </c>
      <c r="CX62" s="64">
        <v>2043</v>
      </c>
      <c r="CY62" s="63">
        <v>1</v>
      </c>
      <c r="CZ62" s="64">
        <v>2043</v>
      </c>
      <c r="DA62" s="63">
        <v>10</v>
      </c>
      <c r="DB62" s="64">
        <v>2042</v>
      </c>
      <c r="DC62" s="67" t="s">
        <v>205</v>
      </c>
      <c r="DD62" s="68" t="s">
        <v>195</v>
      </c>
      <c r="DE62" s="68"/>
      <c r="DF62" s="48">
        <v>660</v>
      </c>
      <c r="DG62" s="48">
        <v>369</v>
      </c>
      <c r="DH62" s="48">
        <v>26</v>
      </c>
      <c r="DI62" s="48" t="s">
        <v>407</v>
      </c>
      <c r="DJ62" s="48"/>
      <c r="DK62" s="48"/>
      <c r="DL62" s="53" t="s">
        <v>196</v>
      </c>
      <c r="DM62" s="61" t="s">
        <v>208</v>
      </c>
      <c r="DN62" s="32"/>
      <c r="DO62" s="82"/>
      <c r="DP62" s="69"/>
      <c r="DQ62" s="32"/>
      <c r="DR62" s="76"/>
      <c r="DS62" s="77"/>
      <c r="DT62" s="78"/>
      <c r="DU62" s="71"/>
      <c r="DV62" s="84"/>
      <c r="DW62" s="33" t="s">
        <v>316</v>
      </c>
      <c r="DX62" s="315" t="s">
        <v>119</v>
      </c>
      <c r="DY62" s="33" t="s">
        <v>316</v>
      </c>
      <c r="DZ62" s="148" t="s">
        <v>341</v>
      </c>
      <c r="EA62" s="45" t="s">
        <v>359</v>
      </c>
      <c r="EB62" s="143" t="s">
        <v>349</v>
      </c>
      <c r="EC62" s="45" t="s">
        <v>359</v>
      </c>
      <c r="ED62" s="72" t="s">
        <v>362</v>
      </c>
      <c r="EE62" s="45">
        <v>0</v>
      </c>
      <c r="EF62" s="73" t="s">
        <v>205</v>
      </c>
      <c r="EG62" s="148" t="s">
        <v>341</v>
      </c>
      <c r="EH62" s="45" t="s">
        <v>359</v>
      </c>
      <c r="EI62" s="143" t="s">
        <v>349</v>
      </c>
      <c r="EJ62" s="45" t="s">
        <v>359</v>
      </c>
      <c r="EK62" s="72" t="s">
        <v>362</v>
      </c>
      <c r="EL62" s="31"/>
      <c r="EM62" s="51" t="s">
        <v>205</v>
      </c>
      <c r="EN62" s="74" t="s">
        <v>105</v>
      </c>
      <c r="EO62" s="84"/>
    </row>
    <row r="63" spans="1:174" s="171" customFormat="1" ht="11.25" customHeight="1" x14ac:dyDescent="0.2">
      <c r="A63" s="100">
        <v>331</v>
      </c>
      <c r="B63" s="434">
        <v>375</v>
      </c>
      <c r="C63" s="31"/>
      <c r="D63" s="31" t="s">
        <v>134</v>
      </c>
      <c r="E63" s="37" t="s">
        <v>42</v>
      </c>
      <c r="F63" s="31" t="s">
        <v>380</v>
      </c>
      <c r="G63" s="60" t="s">
        <v>327</v>
      </c>
      <c r="H63" s="508" t="s">
        <v>359</v>
      </c>
      <c r="I63" s="60" t="s">
        <v>370</v>
      </c>
      <c r="J63" s="508" t="s">
        <v>359</v>
      </c>
      <c r="K63" s="37" t="s">
        <v>310</v>
      </c>
      <c r="L63" s="157" t="s">
        <v>451</v>
      </c>
      <c r="M63" s="526" t="s">
        <v>455</v>
      </c>
      <c r="N63" s="163"/>
      <c r="O63" s="509" t="e">
        <v>#N/A</v>
      </c>
      <c r="P63" s="37"/>
      <c r="Q63" s="296" t="e">
        <v>#N/A</v>
      </c>
      <c r="R63" s="37" t="s">
        <v>316</v>
      </c>
      <c r="S63" s="190" t="s">
        <v>119</v>
      </c>
      <c r="T63" s="35" t="s">
        <v>94</v>
      </c>
      <c r="U63" s="36" t="s">
        <v>205</v>
      </c>
      <c r="V63" s="537" t="s">
        <v>424</v>
      </c>
      <c r="W63" s="295" t="s">
        <v>430</v>
      </c>
      <c r="X63" s="298" t="s">
        <v>426</v>
      </c>
      <c r="Y63" s="317" t="s">
        <v>430</v>
      </c>
      <c r="Z63" s="317" t="s">
        <v>426</v>
      </c>
      <c r="AA63" s="48" t="s">
        <v>410</v>
      </c>
      <c r="AB63" s="139">
        <v>5</v>
      </c>
      <c r="AC63" s="407" t="s">
        <v>359</v>
      </c>
      <c r="AD63" s="169">
        <v>9</v>
      </c>
      <c r="AE63" s="40">
        <v>3.66</v>
      </c>
      <c r="AF63" s="329"/>
      <c r="AG63" s="102"/>
      <c r="AH63" s="572" t="s">
        <v>341</v>
      </c>
      <c r="AI63" s="571" t="s">
        <v>359</v>
      </c>
      <c r="AJ63" s="568">
        <v>5</v>
      </c>
      <c r="AK63" s="571" t="s">
        <v>359</v>
      </c>
      <c r="AL63" s="406">
        <v>2017</v>
      </c>
      <c r="AM63" s="126"/>
      <c r="AN63" s="49"/>
      <c r="AO63" s="249">
        <v>6</v>
      </c>
      <c r="AP63" s="185" t="s">
        <v>359</v>
      </c>
      <c r="AQ63" s="80">
        <v>9</v>
      </c>
      <c r="AR63" s="43">
        <v>3.99</v>
      </c>
      <c r="AS63" s="333"/>
      <c r="AT63" s="44" t="s">
        <v>341</v>
      </c>
      <c r="AU63" s="395" t="s">
        <v>359</v>
      </c>
      <c r="AV63" s="45" t="s">
        <v>345</v>
      </c>
      <c r="AW63" s="395" t="s">
        <v>359</v>
      </c>
      <c r="AX63" s="46">
        <v>2019</v>
      </c>
      <c r="AY63" s="84"/>
      <c r="AZ63" s="383" t="s">
        <v>619</v>
      </c>
      <c r="BA63" s="392"/>
      <c r="BB63" s="47">
        <v>3</v>
      </c>
      <c r="BC63" s="253">
        <v>16</v>
      </c>
      <c r="BD63" s="205">
        <v>2.34</v>
      </c>
      <c r="BE63" s="205">
        <v>0.33</v>
      </c>
      <c r="BF63" s="53" t="s">
        <v>411</v>
      </c>
      <c r="BG63" s="54">
        <v>14</v>
      </c>
      <c r="BH63" s="343" t="s">
        <v>332</v>
      </c>
      <c r="BI63" s="56" t="s">
        <v>341</v>
      </c>
      <c r="BJ63" s="400" t="s">
        <v>359</v>
      </c>
      <c r="BK63" s="341">
        <v>12</v>
      </c>
      <c r="BL63" s="400" t="s">
        <v>359</v>
      </c>
      <c r="BM63" s="178">
        <v>2019</v>
      </c>
      <c r="BN63" s="128"/>
      <c r="BO63" s="58"/>
      <c r="BP63" s="55">
        <v>15</v>
      </c>
      <c r="BQ63" s="346" t="s">
        <v>332</v>
      </c>
      <c r="BR63" s="56" t="s">
        <v>341</v>
      </c>
      <c r="BS63" s="339">
        <v>12</v>
      </c>
      <c r="BT63" s="395" t="s">
        <v>359</v>
      </c>
      <c r="BU63" s="178">
        <v>2020</v>
      </c>
      <c r="BV63" s="178"/>
      <c r="BW63" s="57"/>
      <c r="BX63" s="127"/>
      <c r="BY63" s="254">
        <v>0</v>
      </c>
      <c r="BZ63" s="53" t="s">
        <v>205</v>
      </c>
      <c r="CA63" s="316" t="s">
        <v>613</v>
      </c>
      <c r="CB63" s="59" t="s">
        <v>360</v>
      </c>
      <c r="CC63" s="38" t="s">
        <v>263</v>
      </c>
      <c r="CD63" s="48">
        <v>56</v>
      </c>
      <c r="CE63" s="31" t="s">
        <v>298</v>
      </c>
      <c r="CF63" s="31">
        <v>2013</v>
      </c>
      <c r="CG63" s="303" t="s">
        <v>426</v>
      </c>
      <c r="CH63" s="31"/>
      <c r="CI63" s="105"/>
      <c r="CJ63" s="31" t="s">
        <v>264</v>
      </c>
      <c r="CK63" s="51" t="s">
        <v>205</v>
      </c>
      <c r="CL63" s="61"/>
      <c r="CM63" s="62"/>
      <c r="CN63" s="61"/>
      <c r="CO63" s="76"/>
      <c r="CP63" s="51" t="s">
        <v>205</v>
      </c>
      <c r="CQ63" s="61"/>
      <c r="CR63" s="62"/>
      <c r="CS63" s="61"/>
      <c r="CT63" s="76"/>
      <c r="CU63" s="65" t="s">
        <v>105</v>
      </c>
      <c r="CV63" s="66" t="s">
        <v>45</v>
      </c>
      <c r="CW63" s="63">
        <v>11</v>
      </c>
      <c r="CX63" s="64">
        <v>2037</v>
      </c>
      <c r="CY63" s="63">
        <v>8</v>
      </c>
      <c r="CZ63" s="64">
        <v>2037</v>
      </c>
      <c r="DA63" s="63">
        <v>5</v>
      </c>
      <c r="DB63" s="64">
        <v>2037</v>
      </c>
      <c r="DC63" s="67" t="s">
        <v>205</v>
      </c>
      <c r="DD63" s="68" t="s">
        <v>195</v>
      </c>
      <c r="DE63" s="68"/>
      <c r="DF63" s="48">
        <v>660</v>
      </c>
      <c r="DG63" s="48">
        <v>434</v>
      </c>
      <c r="DH63" s="48">
        <v>32</v>
      </c>
      <c r="DI63" s="48" t="s">
        <v>403</v>
      </c>
      <c r="DJ63" s="48"/>
      <c r="DK63" s="48"/>
      <c r="DL63" s="53" t="s">
        <v>207</v>
      </c>
      <c r="DM63" s="61" t="s">
        <v>208</v>
      </c>
      <c r="DN63" s="32"/>
      <c r="DO63" s="31"/>
      <c r="DP63" s="69"/>
      <c r="DQ63" s="32"/>
      <c r="DR63" s="76"/>
      <c r="DS63" s="77"/>
      <c r="DT63" s="78"/>
      <c r="DU63" s="71"/>
      <c r="DV63" s="84"/>
      <c r="DW63" s="33" t="s">
        <v>316</v>
      </c>
      <c r="DX63" s="315" t="s">
        <v>119</v>
      </c>
      <c r="DY63" s="33" t="s">
        <v>316</v>
      </c>
      <c r="DZ63" s="44" t="s">
        <v>341</v>
      </c>
      <c r="EA63" s="45" t="s">
        <v>359</v>
      </c>
      <c r="EB63" s="45">
        <v>5</v>
      </c>
      <c r="EC63" s="45" t="s">
        <v>359</v>
      </c>
      <c r="ED63" s="72">
        <v>2014</v>
      </c>
      <c r="EE63" s="45">
        <v>0</v>
      </c>
      <c r="EF63" s="73" t="s">
        <v>205</v>
      </c>
      <c r="EG63" s="44" t="s">
        <v>341</v>
      </c>
      <c r="EH63" s="45" t="s">
        <v>359</v>
      </c>
      <c r="EI63" s="45">
        <v>5</v>
      </c>
      <c r="EJ63" s="45" t="s">
        <v>359</v>
      </c>
      <c r="EK63" s="72">
        <v>2014</v>
      </c>
      <c r="EL63" s="31"/>
      <c r="EM63" s="51" t="s">
        <v>205</v>
      </c>
      <c r="EN63" s="74" t="s">
        <v>105</v>
      </c>
      <c r="EO63" s="84"/>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248"/>
      <c r="FO63" s="248"/>
      <c r="FP63" s="248"/>
      <c r="FQ63" s="248"/>
      <c r="FR63" s="248"/>
    </row>
    <row r="64" spans="1:174" s="244" customFormat="1" ht="11.25" customHeight="1" x14ac:dyDescent="0.2">
      <c r="A64" s="100">
        <v>346</v>
      </c>
      <c r="B64" s="434">
        <v>389</v>
      </c>
      <c r="C64" s="31"/>
      <c r="D64" s="31" t="s">
        <v>134</v>
      </c>
      <c r="E64" s="37" t="s">
        <v>206</v>
      </c>
      <c r="F64" s="31" t="s">
        <v>380</v>
      </c>
      <c r="G64" s="60" t="s">
        <v>370</v>
      </c>
      <c r="H64" s="508" t="s">
        <v>359</v>
      </c>
      <c r="I64" s="60" t="s">
        <v>347</v>
      </c>
      <c r="J64" s="508" t="s">
        <v>359</v>
      </c>
      <c r="K64" s="37" t="s">
        <v>338</v>
      </c>
      <c r="L64" s="157" t="s">
        <v>451</v>
      </c>
      <c r="M64" s="526" t="s">
        <v>455</v>
      </c>
      <c r="N64" s="163"/>
      <c r="O64" s="509" t="e">
        <v>#N/A</v>
      </c>
      <c r="P64" s="37"/>
      <c r="Q64" s="296" t="e">
        <v>#N/A</v>
      </c>
      <c r="R64" s="37" t="s">
        <v>317</v>
      </c>
      <c r="S64" s="190" t="s">
        <v>119</v>
      </c>
      <c r="T64" s="35" t="s">
        <v>296</v>
      </c>
      <c r="U64" s="36" t="s">
        <v>297</v>
      </c>
      <c r="V64" s="537" t="s">
        <v>424</v>
      </c>
      <c r="W64" s="295" t="s">
        <v>431</v>
      </c>
      <c r="X64" s="298" t="s">
        <v>428</v>
      </c>
      <c r="Y64" s="317" t="s">
        <v>431</v>
      </c>
      <c r="Z64" s="317" t="s">
        <v>428</v>
      </c>
      <c r="AA64" s="48" t="s">
        <v>410</v>
      </c>
      <c r="AB64" s="139">
        <v>2</v>
      </c>
      <c r="AC64" s="407" t="s">
        <v>359</v>
      </c>
      <c r="AD64" s="39">
        <v>8</v>
      </c>
      <c r="AE64" s="40">
        <v>4.74</v>
      </c>
      <c r="AF64" s="329"/>
      <c r="AG64" s="102"/>
      <c r="AH64" s="396"/>
      <c r="AI64" s="405" t="s">
        <v>359</v>
      </c>
      <c r="AJ64" s="102"/>
      <c r="AK64" s="405" t="s">
        <v>359</v>
      </c>
      <c r="AL64" s="406"/>
      <c r="AM64" s="126"/>
      <c r="AN64" s="49"/>
      <c r="AO64" s="249">
        <v>3</v>
      </c>
      <c r="AP64" s="185" t="s">
        <v>359</v>
      </c>
      <c r="AQ64" s="80">
        <v>8</v>
      </c>
      <c r="AR64" s="43">
        <v>5.08</v>
      </c>
      <c r="AS64" s="333"/>
      <c r="AT64" s="44" t="s">
        <v>341</v>
      </c>
      <c r="AU64" s="395" t="s">
        <v>359</v>
      </c>
      <c r="AV64" s="45" t="s">
        <v>347</v>
      </c>
      <c r="AW64" s="395" t="s">
        <v>359</v>
      </c>
      <c r="AX64" s="46">
        <v>2018</v>
      </c>
      <c r="AY64" s="84"/>
      <c r="AZ64" s="383"/>
      <c r="BA64" s="392"/>
      <c r="BB64" s="47">
        <v>3</v>
      </c>
      <c r="BC64" s="253">
        <v>29</v>
      </c>
      <c r="BD64" s="205">
        <v>4.4000000000000004</v>
      </c>
      <c r="BE64" s="205">
        <v>0.34</v>
      </c>
      <c r="BF64" s="53" t="s">
        <v>411</v>
      </c>
      <c r="BG64" s="54">
        <v>22</v>
      </c>
      <c r="BH64" s="343" t="s">
        <v>332</v>
      </c>
      <c r="BI64" s="56" t="s">
        <v>341</v>
      </c>
      <c r="BJ64" s="400" t="s">
        <v>359</v>
      </c>
      <c r="BK64" s="341">
        <v>12</v>
      </c>
      <c r="BL64" s="400" t="s">
        <v>359</v>
      </c>
      <c r="BM64" s="178">
        <v>2019</v>
      </c>
      <c r="BN64" s="128"/>
      <c r="BO64" s="58"/>
      <c r="BP64" s="55">
        <v>23</v>
      </c>
      <c r="BQ64" s="346" t="s">
        <v>332</v>
      </c>
      <c r="BR64" s="56" t="s">
        <v>341</v>
      </c>
      <c r="BS64" s="339">
        <v>12</v>
      </c>
      <c r="BT64" s="395" t="s">
        <v>359</v>
      </c>
      <c r="BU64" s="178">
        <v>2020</v>
      </c>
      <c r="BV64" s="178"/>
      <c r="BW64" s="57"/>
      <c r="BX64" s="127"/>
      <c r="BY64" s="254">
        <v>0</v>
      </c>
      <c r="BZ64" s="53" t="s">
        <v>205</v>
      </c>
      <c r="CA64" s="316" t="s">
        <v>613</v>
      </c>
      <c r="CB64" s="59" t="s">
        <v>360</v>
      </c>
      <c r="CC64" s="38" t="s">
        <v>263</v>
      </c>
      <c r="CD64" s="48">
        <v>43</v>
      </c>
      <c r="CE64" s="31" t="s">
        <v>105</v>
      </c>
      <c r="CF64" s="31"/>
      <c r="CG64" s="303"/>
      <c r="CH64" s="31"/>
      <c r="CI64" s="105"/>
      <c r="CJ64" s="31" t="s">
        <v>205</v>
      </c>
      <c r="CK64" s="51" t="s">
        <v>227</v>
      </c>
      <c r="CL64" s="61">
        <v>7</v>
      </c>
      <c r="CM64" s="62">
        <v>2012</v>
      </c>
      <c r="CN64" s="61"/>
      <c r="CO64" s="76"/>
      <c r="CP64" s="51" t="s">
        <v>205</v>
      </c>
      <c r="CQ64" s="61"/>
      <c r="CR64" s="32"/>
      <c r="CS64" s="61"/>
      <c r="CT64" s="76"/>
      <c r="CU64" s="65" t="s">
        <v>105</v>
      </c>
      <c r="CV64" s="66" t="s">
        <v>45</v>
      </c>
      <c r="CW64" s="63">
        <v>8</v>
      </c>
      <c r="CX64" s="64">
        <v>2026</v>
      </c>
      <c r="CY64" s="63">
        <v>5</v>
      </c>
      <c r="CZ64" s="64">
        <v>2026</v>
      </c>
      <c r="DA64" s="63">
        <v>2</v>
      </c>
      <c r="DB64" s="64">
        <v>2026</v>
      </c>
      <c r="DC64" s="67" t="s">
        <v>205</v>
      </c>
      <c r="DD64" s="68" t="s">
        <v>195</v>
      </c>
      <c r="DE64" s="68"/>
      <c r="DF64" s="48">
        <v>660</v>
      </c>
      <c r="DG64" s="48">
        <v>569</v>
      </c>
      <c r="DH64" s="48">
        <v>43</v>
      </c>
      <c r="DI64" s="48" t="s">
        <v>406</v>
      </c>
      <c r="DJ64" s="48"/>
      <c r="DK64" s="48"/>
      <c r="DL64" s="53" t="s">
        <v>207</v>
      </c>
      <c r="DM64" s="61" t="s">
        <v>208</v>
      </c>
      <c r="DN64" s="32"/>
      <c r="DO64" s="31"/>
      <c r="DP64" s="69"/>
      <c r="DQ64" s="32"/>
      <c r="DR64" s="76"/>
      <c r="DS64" s="77"/>
      <c r="DT64" s="78"/>
      <c r="DU64" s="71"/>
      <c r="DV64" s="84"/>
      <c r="DW64" s="33" t="s">
        <v>317</v>
      </c>
      <c r="DX64" s="315" t="s">
        <v>119</v>
      </c>
      <c r="DY64" s="33" t="s">
        <v>317</v>
      </c>
      <c r="DZ64" s="44" t="s">
        <v>341</v>
      </c>
      <c r="EA64" s="45" t="s">
        <v>359</v>
      </c>
      <c r="EB64" s="45" t="s">
        <v>347</v>
      </c>
      <c r="EC64" s="45" t="s">
        <v>359</v>
      </c>
      <c r="ED64" s="72">
        <v>2012</v>
      </c>
      <c r="EE64" s="45">
        <v>0</v>
      </c>
      <c r="EF64" s="73" t="s">
        <v>205</v>
      </c>
      <c r="EG64" s="44" t="s">
        <v>341</v>
      </c>
      <c r="EH64" s="45" t="s">
        <v>359</v>
      </c>
      <c r="EI64" s="45" t="s">
        <v>347</v>
      </c>
      <c r="EJ64" s="45" t="s">
        <v>359</v>
      </c>
      <c r="EK64" s="72">
        <v>2012</v>
      </c>
      <c r="EL64" s="31">
        <v>3.99</v>
      </c>
      <c r="EM64" s="51" t="s">
        <v>205</v>
      </c>
      <c r="EN64" s="74" t="s">
        <v>105</v>
      </c>
      <c r="EO64" s="84"/>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row>
    <row r="65" spans="1:174" s="75" customFormat="1" ht="11.25" customHeight="1" x14ac:dyDescent="0.2">
      <c r="A65" s="100">
        <v>715</v>
      </c>
      <c r="B65" s="296">
        <v>70</v>
      </c>
      <c r="C65" s="31"/>
      <c r="D65" s="31" t="s">
        <v>133</v>
      </c>
      <c r="E65" s="37" t="s">
        <v>80</v>
      </c>
      <c r="F65" s="31" t="s">
        <v>378</v>
      </c>
      <c r="G65" s="60" t="s">
        <v>273</v>
      </c>
      <c r="H65" s="508" t="s">
        <v>359</v>
      </c>
      <c r="I65" s="60" t="s">
        <v>371</v>
      </c>
      <c r="J65" s="508" t="s">
        <v>359</v>
      </c>
      <c r="K65" s="37">
        <v>1979</v>
      </c>
      <c r="L65" s="157" t="s">
        <v>451</v>
      </c>
      <c r="M65" s="526" t="s">
        <v>455</v>
      </c>
      <c r="N65" s="163"/>
      <c r="O65" s="509" t="s">
        <v>93</v>
      </c>
      <c r="P65" s="37" t="s">
        <v>244</v>
      </c>
      <c r="Q65" s="296" t="s">
        <v>248</v>
      </c>
      <c r="R65" s="37" t="s">
        <v>640</v>
      </c>
      <c r="S65" s="521" t="s">
        <v>566</v>
      </c>
      <c r="T65" s="35" t="s">
        <v>296</v>
      </c>
      <c r="U65" s="36" t="s">
        <v>297</v>
      </c>
      <c r="V65" s="537" t="s">
        <v>424</v>
      </c>
      <c r="W65" s="428" t="s">
        <v>431</v>
      </c>
      <c r="X65" s="298" t="s">
        <v>428</v>
      </c>
      <c r="Y65" s="317" t="s">
        <v>431</v>
      </c>
      <c r="Z65" s="317" t="s">
        <v>428</v>
      </c>
      <c r="AA65" s="48" t="s">
        <v>410</v>
      </c>
      <c r="AB65" s="117">
        <v>3</v>
      </c>
      <c r="AC65" s="407" t="s">
        <v>359</v>
      </c>
      <c r="AD65" s="169">
        <v>8</v>
      </c>
      <c r="AE65" s="40">
        <v>5.08</v>
      </c>
      <c r="AF65" s="329"/>
      <c r="AG65" s="329"/>
      <c r="AH65" s="572" t="s">
        <v>341</v>
      </c>
      <c r="AI65" s="571" t="s">
        <v>359</v>
      </c>
      <c r="AJ65" s="568" t="s">
        <v>370</v>
      </c>
      <c r="AK65" s="571" t="s">
        <v>359</v>
      </c>
      <c r="AL65" s="756">
        <v>2017</v>
      </c>
      <c r="AM65" s="126"/>
      <c r="AN65" s="49"/>
      <c r="AO65" s="41">
        <v>4</v>
      </c>
      <c r="AP65" s="401" t="s">
        <v>359</v>
      </c>
      <c r="AQ65" s="80">
        <v>8</v>
      </c>
      <c r="AR65" s="43">
        <v>5.42</v>
      </c>
      <c r="AS65" s="333"/>
      <c r="AT65" s="44" t="s">
        <v>341</v>
      </c>
      <c r="AU65" s="395" t="s">
        <v>359</v>
      </c>
      <c r="AV65" s="45" t="s">
        <v>283</v>
      </c>
      <c r="AW65" s="395" t="s">
        <v>359</v>
      </c>
      <c r="AX65" s="46">
        <v>2020</v>
      </c>
      <c r="AY65" s="84"/>
      <c r="AZ65" s="191" t="s">
        <v>620</v>
      </c>
      <c r="BA65" s="392"/>
      <c r="BB65" s="47">
        <v>3</v>
      </c>
      <c r="BC65" s="429">
        <v>8</v>
      </c>
      <c r="BD65" s="205">
        <v>4.4000000000000004</v>
      </c>
      <c r="BE65" s="205">
        <v>0.34</v>
      </c>
      <c r="BF65" s="53" t="s">
        <v>411</v>
      </c>
      <c r="BG65" s="54">
        <v>17</v>
      </c>
      <c r="BH65" s="343" t="s">
        <v>332</v>
      </c>
      <c r="BI65" s="56" t="s">
        <v>341</v>
      </c>
      <c r="BJ65" s="400" t="s">
        <v>359</v>
      </c>
      <c r="BK65" s="341">
        <v>12</v>
      </c>
      <c r="BL65" s="400" t="s">
        <v>359</v>
      </c>
      <c r="BM65" s="178">
        <v>2019</v>
      </c>
      <c r="BN65" s="128"/>
      <c r="BO65" s="58"/>
      <c r="BP65" s="55">
        <v>18</v>
      </c>
      <c r="BQ65" s="346" t="s">
        <v>332</v>
      </c>
      <c r="BR65" s="56" t="s">
        <v>341</v>
      </c>
      <c r="BS65" s="339">
        <v>12</v>
      </c>
      <c r="BT65" s="395" t="s">
        <v>359</v>
      </c>
      <c r="BU65" s="178">
        <v>2020</v>
      </c>
      <c r="BV65" s="178"/>
      <c r="BW65" s="57"/>
      <c r="BX65" s="127"/>
      <c r="BY65" s="254">
        <v>0</v>
      </c>
      <c r="BZ65" s="53" t="s">
        <v>205</v>
      </c>
      <c r="CA65" s="316" t="s">
        <v>590</v>
      </c>
      <c r="CB65" s="59" t="s">
        <v>360</v>
      </c>
      <c r="CC65" s="38" t="s">
        <v>263</v>
      </c>
      <c r="CD65" s="48">
        <v>64</v>
      </c>
      <c r="CE65" s="31" t="s">
        <v>298</v>
      </c>
      <c r="CF65" s="31">
        <v>2014</v>
      </c>
      <c r="CG65" s="303"/>
      <c r="CH65" s="31"/>
      <c r="CI65" s="105"/>
      <c r="CJ65" s="31" t="s">
        <v>205</v>
      </c>
      <c r="CK65" s="51" t="s">
        <v>227</v>
      </c>
      <c r="CL65" s="61">
        <v>7</v>
      </c>
      <c r="CM65" s="62">
        <v>2012</v>
      </c>
      <c r="CN65" s="61"/>
      <c r="CO65" s="76"/>
      <c r="CP65" s="51" t="s">
        <v>205</v>
      </c>
      <c r="CQ65" s="61"/>
      <c r="CR65" s="62"/>
      <c r="CS65" s="61"/>
      <c r="CT65" s="76"/>
      <c r="CU65" s="65" t="s">
        <v>105</v>
      </c>
      <c r="CV65" s="66" t="s">
        <v>45</v>
      </c>
      <c r="CW65" s="63">
        <v>12</v>
      </c>
      <c r="CX65" s="64">
        <v>2039</v>
      </c>
      <c r="CY65" s="63">
        <v>9</v>
      </c>
      <c r="CZ65" s="64">
        <v>2039</v>
      </c>
      <c r="DA65" s="63">
        <v>6</v>
      </c>
      <c r="DB65" s="64">
        <v>2039</v>
      </c>
      <c r="DC65" s="67" t="s">
        <v>205</v>
      </c>
      <c r="DD65" s="68" t="s">
        <v>195</v>
      </c>
      <c r="DE65" s="68"/>
      <c r="DF65" s="48">
        <v>720</v>
      </c>
      <c r="DG65" s="48">
        <v>469</v>
      </c>
      <c r="DH65" s="48">
        <v>35</v>
      </c>
      <c r="DI65" s="48" t="s">
        <v>402</v>
      </c>
      <c r="DJ65" s="48"/>
      <c r="DK65" s="48"/>
      <c r="DL65" s="53" t="s">
        <v>207</v>
      </c>
      <c r="DM65" s="61" t="s">
        <v>208</v>
      </c>
      <c r="DN65" s="32"/>
      <c r="DO65" s="31"/>
      <c r="DP65" s="69"/>
      <c r="DQ65" s="32"/>
      <c r="DR65" s="76"/>
      <c r="DS65" s="77"/>
      <c r="DT65" s="78"/>
      <c r="DU65" s="71"/>
      <c r="DV65" s="84"/>
      <c r="DW65" s="33" t="s">
        <v>85</v>
      </c>
      <c r="DX65" s="315" t="s">
        <v>416</v>
      </c>
      <c r="DY65" s="33" t="s">
        <v>7</v>
      </c>
      <c r="DZ65" s="44" t="s">
        <v>341</v>
      </c>
      <c r="EA65" s="45" t="s">
        <v>359</v>
      </c>
      <c r="EB65" s="45" t="s">
        <v>347</v>
      </c>
      <c r="EC65" s="45" t="s">
        <v>359</v>
      </c>
      <c r="ED65" s="72">
        <v>2012</v>
      </c>
      <c r="EE65" s="45">
        <v>0</v>
      </c>
      <c r="EF65" s="73" t="s">
        <v>205</v>
      </c>
      <c r="EG65" s="44" t="s">
        <v>341</v>
      </c>
      <c r="EH65" s="45" t="s">
        <v>359</v>
      </c>
      <c r="EI65" s="45" t="s">
        <v>347</v>
      </c>
      <c r="EJ65" s="45" t="s">
        <v>359</v>
      </c>
      <c r="EK65" s="72">
        <v>2012</v>
      </c>
      <c r="EL65" s="31">
        <v>3.66</v>
      </c>
      <c r="EM65" s="51" t="s">
        <v>205</v>
      </c>
      <c r="EN65" s="74" t="s">
        <v>105</v>
      </c>
      <c r="EO65" s="84"/>
    </row>
    <row r="66" spans="1:174" s="75" customFormat="1" ht="11.25" customHeight="1" x14ac:dyDescent="0.25">
      <c r="A66" s="251"/>
      <c r="B66" s="456"/>
      <c r="C66" s="456"/>
      <c r="D66" s="523" t="s">
        <v>133</v>
      </c>
      <c r="E66" s="37" t="s">
        <v>637</v>
      </c>
      <c r="F66" s="31" t="s">
        <v>378</v>
      </c>
      <c r="G66" s="759" t="s">
        <v>11</v>
      </c>
      <c r="H66" s="31" t="s">
        <v>359</v>
      </c>
      <c r="I66" s="759" t="s">
        <v>341</v>
      </c>
      <c r="J66" s="1409" t="s">
        <v>359</v>
      </c>
      <c r="K66" s="759">
        <v>1978</v>
      </c>
      <c r="L66" s="157" t="s">
        <v>451</v>
      </c>
      <c r="M66" s="526" t="s">
        <v>455</v>
      </c>
      <c r="N66" s="458"/>
      <c r="O66" s="457"/>
      <c r="P66" s="457"/>
      <c r="Q66" s="251"/>
      <c r="R66" s="37" t="s">
        <v>594</v>
      </c>
      <c r="S66" s="1258" t="s">
        <v>568</v>
      </c>
      <c r="T66" s="150" t="s">
        <v>94</v>
      </c>
      <c r="U66" s="151" t="s">
        <v>205</v>
      </c>
      <c r="V66" s="308" t="s">
        <v>424</v>
      </c>
      <c r="W66" s="564" t="s">
        <v>430</v>
      </c>
      <c r="X66" s="537" t="s">
        <v>426</v>
      </c>
      <c r="Y66" s="570" t="s">
        <v>430</v>
      </c>
      <c r="Z66" s="317" t="s">
        <v>426</v>
      </c>
      <c r="AA66" s="48" t="s">
        <v>410</v>
      </c>
      <c r="AB66" s="755">
        <v>5</v>
      </c>
      <c r="AC66" s="409" t="s">
        <v>359</v>
      </c>
      <c r="AD66" s="39">
        <v>9</v>
      </c>
      <c r="AE66" s="50">
        <v>3.66</v>
      </c>
      <c r="AF66" s="466"/>
      <c r="AG66" s="466"/>
      <c r="AH66" s="1408" t="s">
        <v>341</v>
      </c>
      <c r="AI66" s="1407" t="s">
        <v>359</v>
      </c>
      <c r="AJ66" s="1407">
        <v>12</v>
      </c>
      <c r="AK66" s="1407"/>
      <c r="AL66" s="46">
        <v>2017</v>
      </c>
      <c r="AM66" s="468"/>
      <c r="AN66" s="469"/>
      <c r="AO66" s="41">
        <v>6</v>
      </c>
      <c r="AP66" s="410" t="s">
        <v>359</v>
      </c>
      <c r="AQ66" s="80">
        <v>9</v>
      </c>
      <c r="AR66" s="43">
        <v>3.99</v>
      </c>
      <c r="AS66" s="471"/>
      <c r="AT66" s="1408" t="s">
        <v>341</v>
      </c>
      <c r="AU66" s="1407" t="s">
        <v>359</v>
      </c>
      <c r="AV66" s="1407">
        <v>12</v>
      </c>
      <c r="AW66" s="1407"/>
      <c r="AX66" s="443">
        <v>2020</v>
      </c>
      <c r="AY66" s="476"/>
      <c r="AZ66" s="1419" t="s">
        <v>638</v>
      </c>
      <c r="BA66" s="477"/>
      <c r="BB66" s="530">
        <v>3</v>
      </c>
      <c r="BC66" s="253">
        <v>0</v>
      </c>
      <c r="BD66" s="205">
        <v>2.34</v>
      </c>
      <c r="BE66" s="205">
        <v>0.33</v>
      </c>
      <c r="BF66" s="53" t="s">
        <v>411</v>
      </c>
      <c r="BG66" s="54">
        <v>14</v>
      </c>
      <c r="BH66" s="343" t="s">
        <v>332</v>
      </c>
      <c r="BI66" s="56"/>
      <c r="BJ66" s="400"/>
      <c r="BK66" s="341"/>
      <c r="BL66" s="400"/>
      <c r="BM66" s="178">
        <v>2019</v>
      </c>
      <c r="BN66" s="483"/>
      <c r="BO66" s="459"/>
      <c r="BP66" s="55">
        <v>15</v>
      </c>
      <c r="BQ66" s="346" t="s">
        <v>332</v>
      </c>
      <c r="BR66" s="56" t="s">
        <v>341</v>
      </c>
      <c r="BS66" s="339" t="s">
        <v>349</v>
      </c>
      <c r="BT66" s="395" t="s">
        <v>359</v>
      </c>
      <c r="BU66" s="178">
        <v>2020</v>
      </c>
      <c r="BV66" s="178"/>
      <c r="BW66" s="1419" t="s">
        <v>638</v>
      </c>
      <c r="BX66" s="484"/>
      <c r="BY66" s="254">
        <v>0</v>
      </c>
      <c r="BZ66" s="53" t="s">
        <v>205</v>
      </c>
      <c r="CA66" s="488"/>
      <c r="CB66" s="59" t="s">
        <v>360</v>
      </c>
      <c r="CC66" s="38" t="s">
        <v>263</v>
      </c>
      <c r="CD66" s="48">
        <v>72</v>
      </c>
      <c r="CE66" s="31" t="s">
        <v>105</v>
      </c>
      <c r="CF66" s="456"/>
      <c r="CG66" s="432"/>
      <c r="CH66" s="456"/>
      <c r="CI66" s="487"/>
      <c r="CJ66" s="456"/>
      <c r="CK66" s="490"/>
      <c r="CL66" s="491"/>
      <c r="CM66" s="492"/>
      <c r="CN66" s="493"/>
      <c r="CO66" s="494"/>
      <c r="CP66" s="490"/>
      <c r="CQ66" s="491"/>
      <c r="CR66" s="492"/>
      <c r="CS66" s="493"/>
      <c r="CT66" s="494"/>
      <c r="CU66" s="472"/>
      <c r="CV66" s="66" t="s">
        <v>45</v>
      </c>
      <c r="CW66" s="63">
        <v>2</v>
      </c>
      <c r="CX66" s="64">
        <v>2038</v>
      </c>
      <c r="CY66" s="63">
        <v>11</v>
      </c>
      <c r="CZ66" s="64">
        <v>2037</v>
      </c>
      <c r="DA66" s="63">
        <v>8</v>
      </c>
      <c r="DB66" s="64">
        <v>2037</v>
      </c>
      <c r="DC66" s="67" t="s">
        <v>205</v>
      </c>
      <c r="DD66" s="68" t="s">
        <v>195</v>
      </c>
      <c r="DE66" s="68"/>
      <c r="DF66" s="48">
        <v>720</v>
      </c>
      <c r="DG66" s="48">
        <v>491</v>
      </c>
      <c r="DH66" s="48">
        <v>36</v>
      </c>
      <c r="DI66" s="48" t="s">
        <v>402</v>
      </c>
      <c r="DJ66" s="252"/>
      <c r="DK66" s="252"/>
      <c r="DL66" s="53" t="s">
        <v>207</v>
      </c>
      <c r="DM66" s="61" t="s">
        <v>197</v>
      </c>
      <c r="DN66" s="32">
        <v>2012</v>
      </c>
      <c r="DO66" s="328"/>
      <c r="DP66" s="499"/>
      <c r="DQ66" s="498"/>
      <c r="DR66" s="500"/>
      <c r="DS66" s="501"/>
      <c r="DT66" s="119"/>
      <c r="DU66" s="28"/>
      <c r="DV66" s="186"/>
      <c r="DW66" s="460"/>
      <c r="DX66" s="461"/>
      <c r="DY66" s="460"/>
      <c r="DZ66" s="473"/>
      <c r="EA66" s="475"/>
      <c r="EB66" s="503"/>
      <c r="EC66" s="503"/>
      <c r="ED66" s="504"/>
      <c r="EE66" s="505"/>
      <c r="EF66" s="506"/>
      <c r="EG66" s="473"/>
      <c r="EH66" s="475"/>
      <c r="EI66" s="503"/>
      <c r="EJ66" s="503"/>
      <c r="EK66" s="504"/>
      <c r="EL66" s="487"/>
      <c r="EM66" s="456"/>
      <c r="EN66" s="29"/>
      <c r="EO66" s="476"/>
      <c r="EP66" s="507"/>
      <c r="EQ66" s="507"/>
      <c r="ER66" s="507"/>
      <c r="ES66" s="507"/>
      <c r="ET66" s="507"/>
      <c r="EU66" s="507"/>
      <c r="EV66" s="507"/>
      <c r="EW66" s="507"/>
      <c r="EX66" s="507"/>
      <c r="EY66" s="507"/>
      <c r="EZ66" s="507"/>
      <c r="FA66" s="507"/>
      <c r="FB66" s="507"/>
      <c r="FC66" s="507"/>
      <c r="FD66" s="507"/>
      <c r="FE66" s="507"/>
      <c r="FF66" s="507"/>
      <c r="FG66" s="507"/>
      <c r="FH66" s="507"/>
      <c r="FI66" s="507"/>
      <c r="FJ66" s="507"/>
      <c r="FK66" s="507"/>
      <c r="FL66" s="507"/>
      <c r="FM66" s="507"/>
      <c r="FN66" s="507"/>
      <c r="FO66" s="507"/>
      <c r="FP66" s="507"/>
      <c r="FQ66" s="507"/>
      <c r="FR66" s="507"/>
    </row>
    <row r="67" spans="1:174" s="940" customFormat="1" ht="11.25" customHeight="1" x14ac:dyDescent="0.2">
      <c r="A67" s="864">
        <v>464</v>
      </c>
      <c r="B67" s="434">
        <v>470</v>
      </c>
      <c r="C67" s="1039"/>
      <c r="D67" s="1039" t="s">
        <v>133</v>
      </c>
      <c r="E67" s="1040" t="s">
        <v>55</v>
      </c>
      <c r="F67" s="1039" t="s">
        <v>378</v>
      </c>
      <c r="G67" s="1041" t="s">
        <v>11</v>
      </c>
      <c r="H67" s="1042" t="s">
        <v>359</v>
      </c>
      <c r="I67" s="1041" t="s">
        <v>343</v>
      </c>
      <c r="J67" s="1042" t="s">
        <v>359</v>
      </c>
      <c r="K67" s="1040">
        <v>1967</v>
      </c>
      <c r="L67" s="1040" t="s">
        <v>451</v>
      </c>
      <c r="M67" s="1040" t="s">
        <v>455</v>
      </c>
      <c r="N67" s="1040"/>
      <c r="O67" s="1040" t="e">
        <v>#N/A</v>
      </c>
      <c r="P67" s="1040"/>
      <c r="Q67" s="1040" t="e">
        <v>#N/A</v>
      </c>
      <c r="R67" s="1040" t="s">
        <v>603</v>
      </c>
      <c r="S67" s="1040" t="s">
        <v>119</v>
      </c>
      <c r="T67" s="1043" t="s">
        <v>296</v>
      </c>
      <c r="U67" s="1044" t="s">
        <v>297</v>
      </c>
      <c r="V67" s="574" t="s">
        <v>424</v>
      </c>
      <c r="W67" s="1045" t="s">
        <v>431</v>
      </c>
      <c r="X67" s="574" t="s">
        <v>428</v>
      </c>
      <c r="Y67" s="1046" t="s">
        <v>431</v>
      </c>
      <c r="Z67" s="1046" t="s">
        <v>428</v>
      </c>
      <c r="AA67" s="1047" t="s">
        <v>410</v>
      </c>
      <c r="AB67" s="1048">
        <v>6</v>
      </c>
      <c r="AC67" s="1049" t="s">
        <v>359</v>
      </c>
      <c r="AD67" s="1050">
        <v>8</v>
      </c>
      <c r="AE67" s="1051">
        <v>6.1000000000000005</v>
      </c>
      <c r="AF67" s="1052"/>
      <c r="AG67" s="1053"/>
      <c r="AH67" s="1054" t="s">
        <v>341</v>
      </c>
      <c r="AI67" s="1035" t="s">
        <v>359</v>
      </c>
      <c r="AJ67" s="1053" t="s">
        <v>344</v>
      </c>
      <c r="AK67" s="887" t="s">
        <v>359</v>
      </c>
      <c r="AL67" s="1055">
        <v>2016</v>
      </c>
      <c r="AM67" s="1056"/>
      <c r="AN67" s="1057"/>
      <c r="AO67" s="1058">
        <v>7</v>
      </c>
      <c r="AP67" s="1059" t="s">
        <v>359</v>
      </c>
      <c r="AQ67" s="1060">
        <v>8</v>
      </c>
      <c r="AR67" s="1061">
        <v>6.44</v>
      </c>
      <c r="AS67" s="1062"/>
      <c r="AT67" s="1063" t="s">
        <v>341</v>
      </c>
      <c r="AU67" s="585" t="s">
        <v>359</v>
      </c>
      <c r="AV67" s="1064">
        <v>6</v>
      </c>
      <c r="AW67" s="1065" t="s">
        <v>359</v>
      </c>
      <c r="AX67" s="1066">
        <v>2019</v>
      </c>
      <c r="AY67" s="1067"/>
      <c r="AZ67" s="1068"/>
      <c r="BA67" s="1069"/>
      <c r="BB67" s="1070">
        <v>3</v>
      </c>
      <c r="BC67" s="1071">
        <v>16</v>
      </c>
      <c r="BD67" s="903">
        <v>4.4000000000000004</v>
      </c>
      <c r="BE67" s="903">
        <v>0.34</v>
      </c>
      <c r="BF67" s="1072" t="s">
        <v>411</v>
      </c>
      <c r="BG67" s="1073">
        <v>34</v>
      </c>
      <c r="BH67" s="1074" t="s">
        <v>332</v>
      </c>
      <c r="BI67" s="1075" t="s">
        <v>341</v>
      </c>
      <c r="BJ67" s="1431" t="s">
        <v>359</v>
      </c>
      <c r="BK67" s="1076">
        <v>10</v>
      </c>
      <c r="BL67" s="1065" t="s">
        <v>359</v>
      </c>
      <c r="BM67" s="1066">
        <v>2019</v>
      </c>
      <c r="BN67" s="1056"/>
      <c r="BO67" s="1077"/>
      <c r="BP67" s="1078">
        <v>35</v>
      </c>
      <c r="BQ67" s="1079" t="s">
        <v>332</v>
      </c>
      <c r="BR67" s="1075" t="s">
        <v>341</v>
      </c>
      <c r="BS67" s="896" t="s">
        <v>359</v>
      </c>
      <c r="BT67" s="1076">
        <v>10</v>
      </c>
      <c r="BU67" s="1065" t="s">
        <v>359</v>
      </c>
      <c r="BV67" s="910">
        <v>2020</v>
      </c>
      <c r="BW67" s="1080"/>
      <c r="BX67" s="1081"/>
      <c r="BY67" s="1082">
        <v>0</v>
      </c>
      <c r="BZ67" s="1072" t="s">
        <v>205</v>
      </c>
      <c r="CA67" s="1040" t="s">
        <v>613</v>
      </c>
      <c r="CB67" s="573" t="s">
        <v>360</v>
      </c>
      <c r="CC67" s="1083" t="s">
        <v>263</v>
      </c>
      <c r="CD67" s="1047">
        <v>54</v>
      </c>
      <c r="CE67" s="1039" t="s">
        <v>298</v>
      </c>
      <c r="CF67" s="1039">
        <v>2013</v>
      </c>
      <c r="CG67" s="586" t="s">
        <v>428</v>
      </c>
      <c r="CH67" s="574"/>
      <c r="CI67" s="1039"/>
      <c r="CJ67" s="1039" t="s">
        <v>264</v>
      </c>
      <c r="CK67" s="1084" t="s">
        <v>227</v>
      </c>
      <c r="CL67" s="1085">
        <v>1</v>
      </c>
      <c r="CM67" s="1086">
        <v>2011</v>
      </c>
      <c r="CN67" s="1085"/>
      <c r="CO67" s="1087"/>
      <c r="CP67" s="1084" t="s">
        <v>205</v>
      </c>
      <c r="CQ67" s="1085"/>
      <c r="CR67" s="1086"/>
      <c r="CS67" s="1085"/>
      <c r="CT67" s="1087"/>
      <c r="CU67" s="1088" t="s">
        <v>105</v>
      </c>
      <c r="CV67" s="1089" t="s">
        <v>45</v>
      </c>
      <c r="CW67" s="1090">
        <v>6</v>
      </c>
      <c r="CX67" s="1091">
        <v>2027</v>
      </c>
      <c r="CY67" s="1090">
        <v>3</v>
      </c>
      <c r="CZ67" s="1091">
        <v>2027</v>
      </c>
      <c r="DA67" s="1090">
        <v>12</v>
      </c>
      <c r="DB67" s="1091">
        <v>2026</v>
      </c>
      <c r="DC67" s="1092" t="s">
        <v>205</v>
      </c>
      <c r="DD67" s="1093" t="s">
        <v>195</v>
      </c>
      <c r="DE67" s="1093"/>
      <c r="DF67" s="1047">
        <v>720</v>
      </c>
      <c r="DG67" s="1047">
        <v>619</v>
      </c>
      <c r="DH67" s="1047">
        <v>47</v>
      </c>
      <c r="DI67" s="1047" t="s">
        <v>405</v>
      </c>
      <c r="DJ67" s="1047"/>
      <c r="DK67" s="1047"/>
      <c r="DL67" s="1072" t="s">
        <v>209</v>
      </c>
      <c r="DM67" s="1085" t="s">
        <v>208</v>
      </c>
      <c r="DN67" s="1094"/>
      <c r="DO67" s="1095"/>
      <c r="DP67" s="1096"/>
      <c r="DQ67" s="1094"/>
      <c r="DR67" s="1087"/>
      <c r="DS67" s="1097"/>
      <c r="DT67" s="1098"/>
      <c r="DU67" s="1099"/>
      <c r="DV67" s="1067"/>
      <c r="DW67" s="1100"/>
      <c r="DX67" s="1101" t="s">
        <v>361</v>
      </c>
      <c r="DY67" s="1100"/>
      <c r="DZ67" s="1102" t="s">
        <v>341</v>
      </c>
      <c r="EA67" s="1064" t="s">
        <v>359</v>
      </c>
      <c r="EB67" s="1103">
        <v>6</v>
      </c>
      <c r="EC67" s="1064" t="s">
        <v>359</v>
      </c>
      <c r="ED67" s="1104">
        <v>2013</v>
      </c>
      <c r="EE67" s="1064">
        <v>0</v>
      </c>
      <c r="EF67" s="1105" t="s">
        <v>205</v>
      </c>
      <c r="EG67" s="1102" t="s">
        <v>341</v>
      </c>
      <c r="EH67" s="1064" t="s">
        <v>359</v>
      </c>
      <c r="EI67" s="1103">
        <v>6</v>
      </c>
      <c r="EJ67" s="1064" t="s">
        <v>359</v>
      </c>
      <c r="EK67" s="1104">
        <v>2013</v>
      </c>
      <c r="EL67" s="1039">
        <v>5.2788000000000004</v>
      </c>
      <c r="EM67" s="1084" t="s">
        <v>205</v>
      </c>
      <c r="EN67" s="1106" t="s">
        <v>105</v>
      </c>
      <c r="EO67" s="1067"/>
      <c r="EP67" s="1038"/>
      <c r="EQ67" s="1038"/>
      <c r="ER67" s="1038"/>
      <c r="ES67" s="1038"/>
      <c r="ET67" s="1038"/>
      <c r="EU67" s="1038"/>
      <c r="EV67" s="1038"/>
      <c r="EW67" s="1038"/>
      <c r="EX67" s="1038"/>
      <c r="EY67" s="1038"/>
      <c r="EZ67" s="1038"/>
      <c r="FA67" s="1038"/>
      <c r="FB67" s="1038"/>
      <c r="FC67" s="1038"/>
      <c r="FD67" s="1038"/>
      <c r="FE67" s="1038"/>
      <c r="FF67" s="1038"/>
      <c r="FG67" s="1038"/>
      <c r="FH67" s="1038"/>
      <c r="FI67" s="1038"/>
      <c r="FJ67" s="1038"/>
      <c r="FK67" s="1038"/>
      <c r="FL67" s="1038"/>
      <c r="FM67" s="1038"/>
      <c r="FN67" s="1038"/>
      <c r="FO67" s="1038"/>
      <c r="FP67" s="1038"/>
      <c r="FQ67" s="1038"/>
      <c r="FR67" s="1038"/>
    </row>
    <row r="68" spans="1:174" s="1038" customFormat="1" ht="11.25" customHeight="1" x14ac:dyDescent="0.2">
      <c r="A68" s="864">
        <v>473</v>
      </c>
      <c r="B68" s="523">
        <v>479</v>
      </c>
      <c r="C68" s="1107"/>
      <c r="D68" s="1107" t="s">
        <v>133</v>
      </c>
      <c r="E68" s="1108" t="s">
        <v>258</v>
      </c>
      <c r="F68" s="1107" t="s">
        <v>378</v>
      </c>
      <c r="G68" s="1109" t="s">
        <v>382</v>
      </c>
      <c r="H68" s="1110" t="s">
        <v>359</v>
      </c>
      <c r="I68" s="1109" t="s">
        <v>343</v>
      </c>
      <c r="J68" s="1110" t="s">
        <v>359</v>
      </c>
      <c r="K68" s="1111" t="s">
        <v>18</v>
      </c>
      <c r="L68" s="1112" t="s">
        <v>451</v>
      </c>
      <c r="M68" s="1113" t="s">
        <v>455</v>
      </c>
      <c r="N68" s="1114"/>
      <c r="O68" s="1115" t="s">
        <v>93</v>
      </c>
      <c r="P68" s="1111" t="s">
        <v>458</v>
      </c>
      <c r="Q68" s="1116" t="s">
        <v>234</v>
      </c>
      <c r="R68" s="1117"/>
      <c r="S68" s="1111" t="s">
        <v>419</v>
      </c>
      <c r="T68" s="1118" t="s">
        <v>94</v>
      </c>
      <c r="U68" s="1119" t="s">
        <v>205</v>
      </c>
      <c r="V68" s="1120" t="s">
        <v>424</v>
      </c>
      <c r="W68" s="1121" t="s">
        <v>430</v>
      </c>
      <c r="X68" s="1120" t="s">
        <v>426</v>
      </c>
      <c r="Y68" s="1122" t="s">
        <v>430</v>
      </c>
      <c r="Z68" s="1123" t="s">
        <v>426</v>
      </c>
      <c r="AA68" s="1113" t="s">
        <v>410</v>
      </c>
      <c r="AB68" s="1124">
        <v>6</v>
      </c>
      <c r="AC68" s="1125" t="s">
        <v>359</v>
      </c>
      <c r="AD68" s="1126">
        <v>9</v>
      </c>
      <c r="AE68" s="903">
        <v>3.99</v>
      </c>
      <c r="AF68" s="1127"/>
      <c r="AG68" s="1128"/>
      <c r="AH68" s="1129"/>
      <c r="AI68" s="887" t="s">
        <v>359</v>
      </c>
      <c r="AJ68" s="1128"/>
      <c r="AK68" s="887" t="s">
        <v>359</v>
      </c>
      <c r="AL68" s="1130"/>
      <c r="AM68" s="1131"/>
      <c r="AN68" s="1132"/>
      <c r="AO68" s="1133">
        <v>7</v>
      </c>
      <c r="AP68" s="1134" t="s">
        <v>359</v>
      </c>
      <c r="AQ68" s="1135">
        <v>9</v>
      </c>
      <c r="AR68" s="1112">
        <v>4.32</v>
      </c>
      <c r="AS68" s="1136"/>
      <c r="AT68" s="1129" t="s">
        <v>341</v>
      </c>
      <c r="AU68" s="1137" t="s">
        <v>359</v>
      </c>
      <c r="AV68" s="1138" t="s">
        <v>341</v>
      </c>
      <c r="AW68" s="1137" t="s">
        <v>359</v>
      </c>
      <c r="AX68" s="898">
        <v>2018</v>
      </c>
      <c r="AY68" s="899"/>
      <c r="AZ68" s="1139" t="s">
        <v>642</v>
      </c>
      <c r="BA68" s="901"/>
      <c r="BB68" s="1140">
        <v>3</v>
      </c>
      <c r="BC68" s="1141">
        <v>33</v>
      </c>
      <c r="BD68" s="903">
        <v>2.34</v>
      </c>
      <c r="BE68" s="903">
        <v>0.33</v>
      </c>
      <c r="BF68" s="1142" t="s">
        <v>411</v>
      </c>
      <c r="BG68" s="1143">
        <v>21</v>
      </c>
      <c r="BH68" s="1144" t="s">
        <v>332</v>
      </c>
      <c r="BI68" s="1145" t="s">
        <v>341</v>
      </c>
      <c r="BJ68" s="1432" t="s">
        <v>359</v>
      </c>
      <c r="BK68" s="1146">
        <v>10</v>
      </c>
      <c r="BL68" s="1137" t="s">
        <v>359</v>
      </c>
      <c r="BM68" s="1147">
        <v>2019</v>
      </c>
      <c r="BN68" s="1131"/>
      <c r="BO68" s="1148"/>
      <c r="BP68" s="1149">
        <v>22</v>
      </c>
      <c r="BQ68" s="1150" t="s">
        <v>332</v>
      </c>
      <c r="BR68" s="1145" t="s">
        <v>341</v>
      </c>
      <c r="BS68" s="896" t="s">
        <v>359</v>
      </c>
      <c r="BT68" s="1146">
        <v>10</v>
      </c>
      <c r="BU68" s="896" t="s">
        <v>359</v>
      </c>
      <c r="BV68" s="910">
        <v>2020</v>
      </c>
      <c r="BW68" s="1151"/>
      <c r="BX68" s="1152"/>
      <c r="BY68" s="1153">
        <v>0</v>
      </c>
      <c r="BZ68" s="1142" t="s">
        <v>205</v>
      </c>
      <c r="CA68" s="1111" t="s">
        <v>585</v>
      </c>
      <c r="CB68" s="1154" t="s">
        <v>360</v>
      </c>
      <c r="CC68" s="1155" t="s">
        <v>263</v>
      </c>
      <c r="CD68" s="1113">
        <v>37</v>
      </c>
      <c r="CE68" s="1107" t="s">
        <v>298</v>
      </c>
      <c r="CF68" s="1107">
        <v>2017</v>
      </c>
      <c r="CG68" s="1156" t="s">
        <v>426</v>
      </c>
      <c r="CH68" s="1107"/>
      <c r="CI68" s="1157"/>
      <c r="CJ68" s="1107" t="s">
        <v>264</v>
      </c>
      <c r="CK68" s="1158" t="s">
        <v>205</v>
      </c>
      <c r="CL68" s="1159"/>
      <c r="CM68" s="1160"/>
      <c r="CN68" s="1159"/>
      <c r="CO68" s="1161"/>
      <c r="CP68" s="1158" t="s">
        <v>205</v>
      </c>
      <c r="CQ68" s="1159"/>
      <c r="CR68" s="1160"/>
      <c r="CS68" s="1159"/>
      <c r="CT68" s="1161"/>
      <c r="CU68" s="1162" t="s">
        <v>105</v>
      </c>
      <c r="CV68" s="1163" t="s">
        <v>45</v>
      </c>
      <c r="CW68" s="1164">
        <v>6</v>
      </c>
      <c r="CX68" s="1165">
        <v>2035</v>
      </c>
      <c r="CY68" s="1164">
        <v>3</v>
      </c>
      <c r="CZ68" s="1165">
        <v>2035</v>
      </c>
      <c r="DA68" s="1164">
        <v>12</v>
      </c>
      <c r="DB68" s="1165">
        <v>2034</v>
      </c>
      <c r="DC68" s="1166" t="s">
        <v>205</v>
      </c>
      <c r="DD68" s="1167" t="s">
        <v>195</v>
      </c>
      <c r="DE68" s="1167"/>
      <c r="DF68" s="1113">
        <v>720</v>
      </c>
      <c r="DG68" s="1113">
        <v>523</v>
      </c>
      <c r="DH68" s="1113">
        <v>39</v>
      </c>
      <c r="DI68" s="1113" t="s">
        <v>402</v>
      </c>
      <c r="DJ68" s="1168"/>
      <c r="DK68" s="1113"/>
      <c r="DL68" s="1142" t="s">
        <v>207</v>
      </c>
      <c r="DM68" s="1159" t="s">
        <v>208</v>
      </c>
      <c r="DN68" s="1169"/>
      <c r="DO68" s="1107"/>
      <c r="DP68" s="1170"/>
      <c r="DQ68" s="1169"/>
      <c r="DR68" s="1161"/>
      <c r="DS68" s="1171"/>
      <c r="DT68" s="1117"/>
      <c r="DU68" s="1172" t="s">
        <v>409</v>
      </c>
      <c r="DV68" s="1173" t="s">
        <v>259</v>
      </c>
      <c r="DW68" s="1174"/>
      <c r="DX68" s="1175" t="s">
        <v>419</v>
      </c>
      <c r="DY68" s="1174" t="s">
        <v>337</v>
      </c>
      <c r="DZ68" s="1129" t="s">
        <v>341</v>
      </c>
      <c r="EA68" s="1138" t="s">
        <v>359</v>
      </c>
      <c r="EB68" s="1138" t="s">
        <v>370</v>
      </c>
      <c r="EC68" s="1138" t="s">
        <v>359</v>
      </c>
      <c r="ED68" s="1176">
        <v>2012</v>
      </c>
      <c r="EE68" s="1138">
        <v>0</v>
      </c>
      <c r="EF68" s="1177" t="s">
        <v>205</v>
      </c>
      <c r="EG68" s="1129" t="s">
        <v>341</v>
      </c>
      <c r="EH68" s="1138" t="s">
        <v>359</v>
      </c>
      <c r="EI68" s="1138" t="s">
        <v>370</v>
      </c>
      <c r="EJ68" s="1138" t="s">
        <v>359</v>
      </c>
      <c r="EK68" s="1176">
        <v>2012</v>
      </c>
      <c r="EL68" s="1107"/>
      <c r="EM68" s="1158" t="s">
        <v>205</v>
      </c>
      <c r="EN68" s="1178" t="s">
        <v>105</v>
      </c>
      <c r="EO68" s="1173"/>
      <c r="EP68" s="1179"/>
      <c r="EQ68" s="1179"/>
      <c r="ER68" s="1179"/>
      <c r="ES68" s="1179"/>
      <c r="ET68" s="1179"/>
      <c r="EU68" s="1179"/>
      <c r="EV68" s="1179"/>
      <c r="EW68" s="1179"/>
      <c r="EX68" s="1179"/>
      <c r="EY68" s="1179"/>
      <c r="EZ68" s="1179"/>
      <c r="FA68" s="1179"/>
      <c r="FB68" s="1179"/>
      <c r="FC68" s="1179"/>
      <c r="FD68" s="1179"/>
      <c r="FE68" s="1179"/>
      <c r="FF68" s="1179"/>
      <c r="FG68" s="1179"/>
      <c r="FH68" s="1179"/>
      <c r="FI68" s="1179"/>
      <c r="FJ68" s="1179"/>
      <c r="FK68" s="1179"/>
      <c r="FL68" s="1179"/>
      <c r="FM68" s="1179"/>
      <c r="FN68" s="1179"/>
      <c r="FO68" s="1179"/>
      <c r="FP68" s="1179"/>
      <c r="FQ68" s="1179"/>
      <c r="FR68" s="1179"/>
    </row>
    <row r="69" spans="1:174" s="940" customFormat="1" ht="11.25" customHeight="1" x14ac:dyDescent="0.2">
      <c r="A69" s="864">
        <v>663</v>
      </c>
      <c r="B69" s="434">
        <v>56</v>
      </c>
      <c r="C69" s="576"/>
      <c r="D69" s="576" t="s">
        <v>133</v>
      </c>
      <c r="E69" s="575" t="s">
        <v>83</v>
      </c>
      <c r="F69" s="576" t="s">
        <v>378</v>
      </c>
      <c r="G69" s="866" t="s">
        <v>327</v>
      </c>
      <c r="H69" s="867" t="s">
        <v>359</v>
      </c>
      <c r="I69" s="866" t="s">
        <v>371</v>
      </c>
      <c r="J69" s="867" t="s">
        <v>359</v>
      </c>
      <c r="K69" s="575" t="s">
        <v>323</v>
      </c>
      <c r="L69" s="868" t="s">
        <v>451</v>
      </c>
      <c r="M69" s="869" t="s">
        <v>455</v>
      </c>
      <c r="N69" s="870"/>
      <c r="O69" s="871" t="e">
        <v>#N/A</v>
      </c>
      <c r="P69" s="1180"/>
      <c r="Q69" s="872" t="e">
        <v>#N/A</v>
      </c>
      <c r="R69" s="575" t="s">
        <v>571</v>
      </c>
      <c r="S69" s="575" t="s">
        <v>566</v>
      </c>
      <c r="T69" s="874" t="s">
        <v>94</v>
      </c>
      <c r="U69" s="875" t="s">
        <v>205</v>
      </c>
      <c r="V69" s="876" t="s">
        <v>424</v>
      </c>
      <c r="W69" s="877" t="s">
        <v>430</v>
      </c>
      <c r="X69" s="878" t="s">
        <v>426</v>
      </c>
      <c r="Y69" s="879" t="s">
        <v>430</v>
      </c>
      <c r="Z69" s="879" t="s">
        <v>426</v>
      </c>
      <c r="AA69" s="584" t="s">
        <v>410</v>
      </c>
      <c r="AB69" s="1032">
        <v>7</v>
      </c>
      <c r="AC69" s="881" t="s">
        <v>359</v>
      </c>
      <c r="AD69" s="882">
        <v>9</v>
      </c>
      <c r="AE69" s="883">
        <v>4.32</v>
      </c>
      <c r="AF69" s="1181"/>
      <c r="AG69" s="894"/>
      <c r="AH69" s="886" t="s">
        <v>341</v>
      </c>
      <c r="AI69" s="887" t="s">
        <v>359</v>
      </c>
      <c r="AJ69" s="885" t="s">
        <v>344</v>
      </c>
      <c r="AK69" s="887" t="s">
        <v>359</v>
      </c>
      <c r="AL69" s="888">
        <v>2017</v>
      </c>
      <c r="AM69" s="889"/>
      <c r="AN69" s="890"/>
      <c r="AO69" s="1182">
        <v>8</v>
      </c>
      <c r="AP69" s="1182" t="s">
        <v>359</v>
      </c>
      <c r="AQ69" s="1183">
        <v>9</v>
      </c>
      <c r="AR69" s="1184">
        <v>4.6500000000000004</v>
      </c>
      <c r="AS69" s="894"/>
      <c r="AT69" s="895" t="s">
        <v>341</v>
      </c>
      <c r="AU69" s="896" t="s">
        <v>359</v>
      </c>
      <c r="AV69" s="897" t="s">
        <v>344</v>
      </c>
      <c r="AW69" s="896" t="s">
        <v>359</v>
      </c>
      <c r="AX69" s="898">
        <v>2020</v>
      </c>
      <c r="AY69" s="899"/>
      <c r="AZ69" s="900"/>
      <c r="BA69" s="901"/>
      <c r="BB69" s="583">
        <v>3</v>
      </c>
      <c r="BC69" s="902">
        <v>4</v>
      </c>
      <c r="BD69" s="903">
        <v>2.34</v>
      </c>
      <c r="BE69" s="903">
        <v>0.33</v>
      </c>
      <c r="BF69" s="904" t="s">
        <v>411</v>
      </c>
      <c r="BG69" s="905">
        <v>13</v>
      </c>
      <c r="BH69" s="906" t="s">
        <v>332</v>
      </c>
      <c r="BI69" s="907" t="s">
        <v>341</v>
      </c>
      <c r="BJ69" s="1428" t="s">
        <v>359</v>
      </c>
      <c r="BK69" s="909">
        <v>10</v>
      </c>
      <c r="BL69" s="908" t="s">
        <v>359</v>
      </c>
      <c r="BM69" s="910">
        <v>2019</v>
      </c>
      <c r="BN69" s="911"/>
      <c r="BO69" s="912"/>
      <c r="BP69" s="913">
        <v>14</v>
      </c>
      <c r="BQ69" s="914" t="s">
        <v>332</v>
      </c>
      <c r="BR69" s="907" t="s">
        <v>341</v>
      </c>
      <c r="BS69" s="896" t="s">
        <v>359</v>
      </c>
      <c r="BT69" s="915">
        <v>10</v>
      </c>
      <c r="BU69" s="896" t="s">
        <v>359</v>
      </c>
      <c r="BV69" s="910">
        <v>2020</v>
      </c>
      <c r="BW69" s="916"/>
      <c r="BX69" s="917"/>
      <c r="BY69" s="918">
        <v>0</v>
      </c>
      <c r="BZ69" s="904" t="s">
        <v>205</v>
      </c>
      <c r="CA69" s="919" t="s">
        <v>590</v>
      </c>
      <c r="CB69" s="581" t="s">
        <v>360</v>
      </c>
      <c r="CC69" s="920" t="s">
        <v>263</v>
      </c>
      <c r="CD69" s="584">
        <v>66</v>
      </c>
      <c r="CE69" s="576" t="s">
        <v>105</v>
      </c>
      <c r="CF69" s="576"/>
      <c r="CG69" s="921"/>
      <c r="CH69" s="576"/>
      <c r="CI69" s="922"/>
      <c r="CJ69" s="576" t="s">
        <v>205</v>
      </c>
      <c r="CK69" s="578" t="s">
        <v>205</v>
      </c>
      <c r="CL69" s="923"/>
      <c r="CM69" s="924"/>
      <c r="CN69" s="923"/>
      <c r="CO69" s="925"/>
      <c r="CP69" s="578" t="s">
        <v>205</v>
      </c>
      <c r="CQ69" s="923"/>
      <c r="CR69" s="924"/>
      <c r="CS69" s="923"/>
      <c r="CT69" s="925"/>
      <c r="CU69" s="926" t="s">
        <v>105</v>
      </c>
      <c r="CV69" s="927" t="s">
        <v>45</v>
      </c>
      <c r="CW69" s="928">
        <v>12</v>
      </c>
      <c r="CX69" s="929">
        <v>2025</v>
      </c>
      <c r="CY69" s="928">
        <v>9</v>
      </c>
      <c r="CZ69" s="929">
        <v>2025</v>
      </c>
      <c r="DA69" s="928">
        <v>6</v>
      </c>
      <c r="DB69" s="929">
        <v>2025</v>
      </c>
      <c r="DC69" s="930" t="s">
        <v>205</v>
      </c>
      <c r="DD69" s="931" t="s">
        <v>195</v>
      </c>
      <c r="DE69" s="931"/>
      <c r="DF69" s="584">
        <v>720</v>
      </c>
      <c r="DG69" s="584">
        <v>637</v>
      </c>
      <c r="DH69" s="584">
        <v>49</v>
      </c>
      <c r="DI69" s="584" t="s">
        <v>405</v>
      </c>
      <c r="DJ69" s="584"/>
      <c r="DK69" s="584"/>
      <c r="DL69" s="904" t="s">
        <v>209</v>
      </c>
      <c r="DM69" s="923" t="s">
        <v>197</v>
      </c>
      <c r="DN69" s="932">
        <v>2009</v>
      </c>
      <c r="DO69" s="576"/>
      <c r="DP69" s="933"/>
      <c r="DQ69" s="932"/>
      <c r="DR69" s="925"/>
      <c r="DS69" s="934"/>
      <c r="DT69" s="579"/>
      <c r="DU69" s="577"/>
      <c r="DV69" s="899"/>
      <c r="DW69" s="937" t="s">
        <v>82</v>
      </c>
      <c r="DX69" s="936" t="s">
        <v>416</v>
      </c>
      <c r="DY69" s="937" t="s">
        <v>82</v>
      </c>
      <c r="DZ69" s="895" t="s">
        <v>341</v>
      </c>
      <c r="EA69" s="897" t="s">
        <v>359</v>
      </c>
      <c r="EB69" s="897" t="s">
        <v>344</v>
      </c>
      <c r="EC69" s="897" t="s">
        <v>359</v>
      </c>
      <c r="ED69" s="938">
        <v>2011</v>
      </c>
      <c r="EE69" s="897">
        <v>0</v>
      </c>
      <c r="EF69" s="939" t="s">
        <v>205</v>
      </c>
      <c r="EG69" s="895" t="s">
        <v>341</v>
      </c>
      <c r="EH69" s="897" t="s">
        <v>359</v>
      </c>
      <c r="EI69" s="897" t="s">
        <v>344</v>
      </c>
      <c r="EJ69" s="897" t="s">
        <v>359</v>
      </c>
      <c r="EK69" s="938">
        <v>2011</v>
      </c>
      <c r="EL69" s="576"/>
      <c r="EM69" s="578" t="s">
        <v>205</v>
      </c>
      <c r="EN69" s="582" t="s">
        <v>105</v>
      </c>
      <c r="EO69" s="899"/>
    </row>
    <row r="70" spans="1:174" s="1038" customFormat="1" ht="11.25" customHeight="1" x14ac:dyDescent="0.2">
      <c r="A70" s="864">
        <v>678</v>
      </c>
      <c r="B70" s="523">
        <v>17</v>
      </c>
      <c r="C70" s="576"/>
      <c r="D70" s="576" t="s">
        <v>134</v>
      </c>
      <c r="E70" s="575" t="s">
        <v>81</v>
      </c>
      <c r="F70" s="576" t="s">
        <v>380</v>
      </c>
      <c r="G70" s="866" t="s">
        <v>341</v>
      </c>
      <c r="H70" s="867" t="s">
        <v>359</v>
      </c>
      <c r="I70" s="866" t="s">
        <v>346</v>
      </c>
      <c r="J70" s="867" t="s">
        <v>359</v>
      </c>
      <c r="K70" s="575" t="s">
        <v>308</v>
      </c>
      <c r="L70" s="868" t="s">
        <v>451</v>
      </c>
      <c r="M70" s="869" t="s">
        <v>455</v>
      </c>
      <c r="N70" s="870"/>
      <c r="O70" s="871" t="e">
        <v>#N/A</v>
      </c>
      <c r="P70" s="575"/>
      <c r="Q70" s="872" t="e">
        <v>#N/A</v>
      </c>
      <c r="R70" s="575" t="s">
        <v>64</v>
      </c>
      <c r="S70" s="575" t="s">
        <v>566</v>
      </c>
      <c r="T70" s="874" t="s">
        <v>94</v>
      </c>
      <c r="U70" s="875" t="s">
        <v>205</v>
      </c>
      <c r="V70" s="876" t="s">
        <v>424</v>
      </c>
      <c r="W70" s="877" t="s">
        <v>430</v>
      </c>
      <c r="X70" s="878" t="s">
        <v>426</v>
      </c>
      <c r="Y70" s="879" t="s">
        <v>430</v>
      </c>
      <c r="Z70" s="879" t="s">
        <v>426</v>
      </c>
      <c r="AA70" s="584" t="s">
        <v>410</v>
      </c>
      <c r="AB70" s="1033">
        <v>6</v>
      </c>
      <c r="AC70" s="881" t="s">
        <v>359</v>
      </c>
      <c r="AD70" s="882">
        <v>9</v>
      </c>
      <c r="AE70" s="883">
        <v>3.99</v>
      </c>
      <c r="AF70" s="884"/>
      <c r="AG70" s="885"/>
      <c r="AH70" s="886" t="s">
        <v>341</v>
      </c>
      <c r="AI70" s="887" t="s">
        <v>359</v>
      </c>
      <c r="AJ70" s="885" t="s">
        <v>370</v>
      </c>
      <c r="AK70" s="887" t="s">
        <v>359</v>
      </c>
      <c r="AL70" s="888">
        <v>2015</v>
      </c>
      <c r="AM70" s="889"/>
      <c r="AN70" s="890"/>
      <c r="AO70" s="891">
        <v>7</v>
      </c>
      <c r="AP70" s="892" t="s">
        <v>359</v>
      </c>
      <c r="AQ70" s="893">
        <v>9</v>
      </c>
      <c r="AR70" s="580">
        <v>4.32</v>
      </c>
      <c r="AS70" s="894"/>
      <c r="AT70" s="895" t="s">
        <v>341</v>
      </c>
      <c r="AU70" s="896" t="s">
        <v>359</v>
      </c>
      <c r="AV70" s="897" t="s">
        <v>370</v>
      </c>
      <c r="AW70" s="896" t="s">
        <v>359</v>
      </c>
      <c r="AX70" s="898">
        <v>2018</v>
      </c>
      <c r="AY70" s="899"/>
      <c r="AZ70" s="1034"/>
      <c r="BA70" s="901"/>
      <c r="BB70" s="583">
        <v>3</v>
      </c>
      <c r="BC70" s="902">
        <v>24</v>
      </c>
      <c r="BD70" s="903">
        <v>2.34</v>
      </c>
      <c r="BE70" s="903">
        <v>0.33</v>
      </c>
      <c r="BF70" s="904" t="s">
        <v>411</v>
      </c>
      <c r="BG70" s="905">
        <v>19</v>
      </c>
      <c r="BH70" s="906" t="s">
        <v>332</v>
      </c>
      <c r="BI70" s="907" t="s">
        <v>341</v>
      </c>
      <c r="BJ70" s="1428" t="s">
        <v>359</v>
      </c>
      <c r="BK70" s="909">
        <v>10</v>
      </c>
      <c r="BL70" s="908" t="s">
        <v>359</v>
      </c>
      <c r="BM70" s="910">
        <v>2019</v>
      </c>
      <c r="BN70" s="911"/>
      <c r="BO70" s="912"/>
      <c r="BP70" s="913">
        <v>20</v>
      </c>
      <c r="BQ70" s="914" t="s">
        <v>332</v>
      </c>
      <c r="BR70" s="907" t="s">
        <v>341</v>
      </c>
      <c r="BS70" s="896" t="s">
        <v>359</v>
      </c>
      <c r="BT70" s="915">
        <v>10</v>
      </c>
      <c r="BU70" s="896" t="s">
        <v>359</v>
      </c>
      <c r="BV70" s="910">
        <v>2020</v>
      </c>
      <c r="BW70" s="916"/>
      <c r="BX70" s="917"/>
      <c r="BY70" s="918">
        <v>0</v>
      </c>
      <c r="BZ70" s="904" t="s">
        <v>205</v>
      </c>
      <c r="CA70" s="919" t="s">
        <v>590</v>
      </c>
      <c r="CB70" s="581" t="s">
        <v>360</v>
      </c>
      <c r="CC70" s="920" t="s">
        <v>263</v>
      </c>
      <c r="CD70" s="584">
        <v>46</v>
      </c>
      <c r="CE70" s="576" t="s">
        <v>105</v>
      </c>
      <c r="CF70" s="576"/>
      <c r="CG70" s="921"/>
      <c r="CH70" s="576"/>
      <c r="CI70" s="922"/>
      <c r="CJ70" s="576" t="s">
        <v>205</v>
      </c>
      <c r="CK70" s="578" t="s">
        <v>205</v>
      </c>
      <c r="CL70" s="923"/>
      <c r="CM70" s="924"/>
      <c r="CN70" s="923"/>
      <c r="CO70" s="925"/>
      <c r="CP70" s="578" t="s">
        <v>205</v>
      </c>
      <c r="CQ70" s="923"/>
      <c r="CR70" s="924"/>
      <c r="CS70" s="923"/>
      <c r="CT70" s="925"/>
      <c r="CU70" s="926" t="s">
        <v>105</v>
      </c>
      <c r="CV70" s="927" t="s">
        <v>45</v>
      </c>
      <c r="CW70" s="928">
        <v>4</v>
      </c>
      <c r="CX70" s="929">
        <v>2032</v>
      </c>
      <c r="CY70" s="928">
        <v>1</v>
      </c>
      <c r="CZ70" s="929">
        <v>2032</v>
      </c>
      <c r="DA70" s="928">
        <v>10</v>
      </c>
      <c r="DB70" s="929">
        <v>2031</v>
      </c>
      <c r="DC70" s="930" t="s">
        <v>205</v>
      </c>
      <c r="DD70" s="931" t="s">
        <v>195</v>
      </c>
      <c r="DE70" s="931"/>
      <c r="DF70" s="584">
        <v>660</v>
      </c>
      <c r="DG70" s="584">
        <v>501</v>
      </c>
      <c r="DH70" s="584">
        <v>37</v>
      </c>
      <c r="DI70" s="584" t="s">
        <v>403</v>
      </c>
      <c r="DJ70" s="584"/>
      <c r="DK70" s="584"/>
      <c r="DL70" s="904" t="s">
        <v>207</v>
      </c>
      <c r="DM70" s="923" t="s">
        <v>208</v>
      </c>
      <c r="DN70" s="932"/>
      <c r="DO70" s="576"/>
      <c r="DP70" s="933"/>
      <c r="DQ70" s="932"/>
      <c r="DR70" s="925"/>
      <c r="DS70" s="934"/>
      <c r="DT70" s="579"/>
      <c r="DU70" s="577"/>
      <c r="DV70" s="899"/>
      <c r="DW70" s="937" t="s">
        <v>64</v>
      </c>
      <c r="DX70" s="936" t="s">
        <v>416</v>
      </c>
      <c r="DY70" s="937" t="s">
        <v>64</v>
      </c>
      <c r="DZ70" s="1185" t="s">
        <v>341</v>
      </c>
      <c r="EA70" s="897" t="s">
        <v>359</v>
      </c>
      <c r="EB70" s="897" t="s">
        <v>370</v>
      </c>
      <c r="EC70" s="897" t="s">
        <v>359</v>
      </c>
      <c r="ED70" s="938">
        <v>2012</v>
      </c>
      <c r="EE70" s="897">
        <v>0</v>
      </c>
      <c r="EF70" s="939" t="s">
        <v>205</v>
      </c>
      <c r="EG70" s="1185" t="s">
        <v>341</v>
      </c>
      <c r="EH70" s="897" t="s">
        <v>359</v>
      </c>
      <c r="EI70" s="897" t="s">
        <v>370</v>
      </c>
      <c r="EJ70" s="897" t="s">
        <v>359</v>
      </c>
      <c r="EK70" s="938">
        <v>2012</v>
      </c>
      <c r="EL70" s="576"/>
      <c r="EM70" s="578" t="s">
        <v>205</v>
      </c>
      <c r="EN70" s="582" t="s">
        <v>105</v>
      </c>
      <c r="EO70" s="899"/>
      <c r="EP70" s="940"/>
      <c r="EQ70" s="940"/>
      <c r="ER70" s="940"/>
      <c r="ES70" s="940"/>
      <c r="ET70" s="940"/>
      <c r="EU70" s="940"/>
      <c r="EV70" s="940"/>
      <c r="EW70" s="940"/>
      <c r="EX70" s="940"/>
      <c r="EY70" s="940"/>
      <c r="EZ70" s="940"/>
      <c r="FA70" s="940"/>
      <c r="FB70" s="940"/>
      <c r="FC70" s="940"/>
      <c r="FD70" s="940"/>
      <c r="FE70" s="940"/>
      <c r="FF70" s="940"/>
      <c r="FG70" s="940"/>
      <c r="FH70" s="940"/>
      <c r="FI70" s="940"/>
      <c r="FJ70" s="940"/>
      <c r="FK70" s="940"/>
      <c r="FL70" s="940"/>
      <c r="FM70" s="940"/>
      <c r="FN70" s="940"/>
      <c r="FO70" s="940"/>
      <c r="FP70" s="940"/>
      <c r="FQ70" s="940"/>
      <c r="FR70" s="940"/>
    </row>
    <row r="71" spans="1:174" s="940" customFormat="1" ht="11.25" customHeight="1" x14ac:dyDescent="0.2">
      <c r="A71" s="864">
        <v>685</v>
      </c>
      <c r="B71" s="434">
        <v>24</v>
      </c>
      <c r="C71" s="576"/>
      <c r="D71" s="576" t="s">
        <v>133</v>
      </c>
      <c r="E71" s="575" t="s">
        <v>66</v>
      </c>
      <c r="F71" s="576" t="s">
        <v>378</v>
      </c>
      <c r="G71" s="866" t="s">
        <v>349</v>
      </c>
      <c r="H71" s="867" t="s">
        <v>359</v>
      </c>
      <c r="I71" s="866" t="s">
        <v>346</v>
      </c>
      <c r="J71" s="867" t="s">
        <v>359</v>
      </c>
      <c r="K71" s="575" t="s">
        <v>8</v>
      </c>
      <c r="L71" s="868" t="s">
        <v>451</v>
      </c>
      <c r="M71" s="869" t="s">
        <v>455</v>
      </c>
      <c r="N71" s="870"/>
      <c r="O71" s="871" t="s">
        <v>93</v>
      </c>
      <c r="P71" s="575" t="s">
        <v>575</v>
      </c>
      <c r="Q71" s="872">
        <v>0.8</v>
      </c>
      <c r="R71" s="575"/>
      <c r="S71" s="575" t="s">
        <v>566</v>
      </c>
      <c r="T71" s="874" t="s">
        <v>256</v>
      </c>
      <c r="U71" s="875" t="s">
        <v>95</v>
      </c>
      <c r="V71" s="876" t="s">
        <v>424</v>
      </c>
      <c r="W71" s="877" t="s">
        <v>429</v>
      </c>
      <c r="X71" s="878" t="s">
        <v>427</v>
      </c>
      <c r="Y71" s="879" t="s">
        <v>429</v>
      </c>
      <c r="Z71" s="879" t="s">
        <v>427</v>
      </c>
      <c r="AA71" s="584" t="s">
        <v>410</v>
      </c>
      <c r="AB71" s="1033">
        <v>3</v>
      </c>
      <c r="AC71" s="881" t="s">
        <v>359</v>
      </c>
      <c r="AD71" s="882">
        <v>6</v>
      </c>
      <c r="AE71" s="883">
        <v>6.9200000000000008</v>
      </c>
      <c r="AF71" s="884"/>
      <c r="AG71" s="885"/>
      <c r="AH71" s="886" t="s">
        <v>341</v>
      </c>
      <c r="AI71" s="1035" t="s">
        <v>359</v>
      </c>
      <c r="AJ71" s="1186" t="s">
        <v>345</v>
      </c>
      <c r="AK71" s="887" t="s">
        <v>359</v>
      </c>
      <c r="AL71" s="888">
        <v>2017</v>
      </c>
      <c r="AM71" s="889"/>
      <c r="AN71" s="890"/>
      <c r="AO71" s="891">
        <v>4</v>
      </c>
      <c r="AP71" s="892" t="s">
        <v>359</v>
      </c>
      <c r="AQ71" s="893">
        <v>6</v>
      </c>
      <c r="AR71" s="580">
        <v>7.2800000000000011</v>
      </c>
      <c r="AS71" s="894"/>
      <c r="AT71" s="895" t="s">
        <v>341</v>
      </c>
      <c r="AU71" s="1036" t="s">
        <v>359</v>
      </c>
      <c r="AV71" s="897" t="s">
        <v>345</v>
      </c>
      <c r="AW71" s="896" t="s">
        <v>359</v>
      </c>
      <c r="AX71" s="898">
        <v>2020</v>
      </c>
      <c r="AY71" s="899"/>
      <c r="AZ71" s="1034"/>
      <c r="BA71" s="901"/>
      <c r="BB71" s="583">
        <v>3</v>
      </c>
      <c r="BC71" s="902">
        <v>2</v>
      </c>
      <c r="BD71" s="903">
        <v>6.2</v>
      </c>
      <c r="BE71" s="903">
        <v>0.36</v>
      </c>
      <c r="BF71" s="904" t="s">
        <v>411</v>
      </c>
      <c r="BG71" s="905">
        <v>25</v>
      </c>
      <c r="BH71" s="906" t="s">
        <v>332</v>
      </c>
      <c r="BI71" s="907" t="s">
        <v>341</v>
      </c>
      <c r="BJ71" s="1428" t="s">
        <v>359</v>
      </c>
      <c r="BK71" s="909">
        <v>10</v>
      </c>
      <c r="BL71" s="908" t="s">
        <v>359</v>
      </c>
      <c r="BM71" s="910">
        <v>2019</v>
      </c>
      <c r="BN71" s="911"/>
      <c r="BO71" s="912"/>
      <c r="BP71" s="913">
        <v>26</v>
      </c>
      <c r="BQ71" s="914" t="s">
        <v>332</v>
      </c>
      <c r="BR71" s="907" t="s">
        <v>341</v>
      </c>
      <c r="BS71" s="896" t="s">
        <v>359</v>
      </c>
      <c r="BT71" s="915">
        <v>10</v>
      </c>
      <c r="BU71" s="896" t="s">
        <v>359</v>
      </c>
      <c r="BV71" s="910">
        <v>2020</v>
      </c>
      <c r="BW71" s="916"/>
      <c r="BX71" s="917"/>
      <c r="BY71" s="918">
        <v>0</v>
      </c>
      <c r="BZ71" s="904" t="s">
        <v>205</v>
      </c>
      <c r="CA71" s="919" t="s">
        <v>590</v>
      </c>
      <c r="CB71" s="581" t="s">
        <v>360</v>
      </c>
      <c r="CC71" s="920" t="s">
        <v>263</v>
      </c>
      <c r="CD71" s="584">
        <v>68</v>
      </c>
      <c r="CE71" s="576" t="s">
        <v>298</v>
      </c>
      <c r="CF71" s="576">
        <v>2017</v>
      </c>
      <c r="CG71" s="921" t="s">
        <v>428</v>
      </c>
      <c r="CH71" s="576"/>
      <c r="CI71" s="922"/>
      <c r="CJ71" s="576" t="s">
        <v>205</v>
      </c>
      <c r="CK71" s="578" t="s">
        <v>227</v>
      </c>
      <c r="CL71" s="923">
        <v>5</v>
      </c>
      <c r="CM71" s="924">
        <v>2012</v>
      </c>
      <c r="CN71" s="923"/>
      <c r="CO71" s="925"/>
      <c r="CP71" s="578" t="s">
        <v>205</v>
      </c>
      <c r="CQ71" s="923"/>
      <c r="CR71" s="924"/>
      <c r="CS71" s="923"/>
      <c r="CT71" s="925"/>
      <c r="CU71" s="926" t="s">
        <v>105</v>
      </c>
      <c r="CV71" s="927" t="s">
        <v>45</v>
      </c>
      <c r="CW71" s="928">
        <v>4</v>
      </c>
      <c r="CX71" s="929">
        <v>2023</v>
      </c>
      <c r="CY71" s="928">
        <v>1</v>
      </c>
      <c r="CZ71" s="929">
        <v>2023</v>
      </c>
      <c r="DA71" s="928">
        <v>10</v>
      </c>
      <c r="DB71" s="929">
        <v>2022</v>
      </c>
      <c r="DC71" s="930" t="s">
        <v>205</v>
      </c>
      <c r="DD71" s="931" t="s">
        <v>195</v>
      </c>
      <c r="DE71" s="931"/>
      <c r="DF71" s="584">
        <v>720</v>
      </c>
      <c r="DG71" s="584">
        <v>669</v>
      </c>
      <c r="DH71" s="584">
        <v>51</v>
      </c>
      <c r="DI71" s="584" t="s">
        <v>405</v>
      </c>
      <c r="DJ71" s="584"/>
      <c r="DK71" s="584"/>
      <c r="DL71" s="904" t="s">
        <v>209</v>
      </c>
      <c r="DM71" s="923" t="s">
        <v>208</v>
      </c>
      <c r="DN71" s="932"/>
      <c r="DO71" s="576"/>
      <c r="DP71" s="933"/>
      <c r="DQ71" s="932"/>
      <c r="DR71" s="925"/>
      <c r="DS71" s="934"/>
      <c r="DT71" s="579"/>
      <c r="DU71" s="577"/>
      <c r="DV71" s="899"/>
      <c r="DW71" s="937" t="s">
        <v>7</v>
      </c>
      <c r="DX71" s="936" t="s">
        <v>416</v>
      </c>
      <c r="DY71" s="937" t="s">
        <v>365</v>
      </c>
      <c r="DZ71" s="1185" t="s">
        <v>341</v>
      </c>
      <c r="EA71" s="897" t="s">
        <v>359</v>
      </c>
      <c r="EB71" s="589" t="s">
        <v>343</v>
      </c>
      <c r="EC71" s="897" t="s">
        <v>359</v>
      </c>
      <c r="ED71" s="938">
        <v>2012</v>
      </c>
      <c r="EE71" s="897">
        <v>0</v>
      </c>
      <c r="EF71" s="939" t="s">
        <v>205</v>
      </c>
      <c r="EG71" s="1185" t="s">
        <v>341</v>
      </c>
      <c r="EH71" s="897" t="s">
        <v>359</v>
      </c>
      <c r="EI71" s="589" t="s">
        <v>343</v>
      </c>
      <c r="EJ71" s="897" t="s">
        <v>359</v>
      </c>
      <c r="EK71" s="938">
        <v>2012</v>
      </c>
      <c r="EL71" s="576">
        <v>5.42</v>
      </c>
      <c r="EM71" s="578" t="s">
        <v>205</v>
      </c>
      <c r="EN71" s="582" t="s">
        <v>105</v>
      </c>
      <c r="EO71" s="899"/>
      <c r="FN71" s="1037"/>
      <c r="FO71" s="1037"/>
      <c r="FP71" s="1037"/>
      <c r="FQ71" s="1037"/>
      <c r="FR71" s="1037"/>
    </row>
    <row r="72" spans="1:174" s="1038" customFormat="1" ht="11.25" customHeight="1" x14ac:dyDescent="0.2">
      <c r="A72" s="864">
        <v>690</v>
      </c>
      <c r="B72" s="523">
        <v>29</v>
      </c>
      <c r="C72" s="576"/>
      <c r="D72" s="576" t="s">
        <v>133</v>
      </c>
      <c r="E72" s="575" t="s">
        <v>292</v>
      </c>
      <c r="F72" s="576" t="s">
        <v>378</v>
      </c>
      <c r="G72" s="866" t="s">
        <v>349</v>
      </c>
      <c r="H72" s="867" t="s">
        <v>359</v>
      </c>
      <c r="I72" s="866" t="s">
        <v>370</v>
      </c>
      <c r="J72" s="867" t="s">
        <v>359</v>
      </c>
      <c r="K72" s="575">
        <v>1965</v>
      </c>
      <c r="L72" s="868" t="s">
        <v>451</v>
      </c>
      <c r="M72" s="869" t="s">
        <v>455</v>
      </c>
      <c r="N72" s="870"/>
      <c r="O72" s="871" t="s">
        <v>93</v>
      </c>
      <c r="P72" s="1180" t="s">
        <v>249</v>
      </c>
      <c r="Q72" s="872" t="s">
        <v>247</v>
      </c>
      <c r="R72" s="575" t="s">
        <v>591</v>
      </c>
      <c r="S72" s="575" t="s">
        <v>566</v>
      </c>
      <c r="T72" s="874" t="s">
        <v>296</v>
      </c>
      <c r="U72" s="875" t="s">
        <v>297</v>
      </c>
      <c r="V72" s="876" t="s">
        <v>424</v>
      </c>
      <c r="W72" s="877" t="s">
        <v>431</v>
      </c>
      <c r="X72" s="878" t="s">
        <v>428</v>
      </c>
      <c r="Y72" s="879" t="s">
        <v>431</v>
      </c>
      <c r="Z72" s="879" t="s">
        <v>428</v>
      </c>
      <c r="AA72" s="584" t="s">
        <v>410</v>
      </c>
      <c r="AB72" s="1033">
        <v>6</v>
      </c>
      <c r="AC72" s="881" t="s">
        <v>359</v>
      </c>
      <c r="AD72" s="882">
        <v>8</v>
      </c>
      <c r="AE72" s="883">
        <v>6.1000000000000005</v>
      </c>
      <c r="AF72" s="884"/>
      <c r="AG72" s="885"/>
      <c r="AH72" s="895" t="s">
        <v>341</v>
      </c>
      <c r="AI72" s="896" t="s">
        <v>359</v>
      </c>
      <c r="AJ72" s="897" t="s">
        <v>342</v>
      </c>
      <c r="AK72" s="896" t="s">
        <v>359</v>
      </c>
      <c r="AL72" s="898">
        <v>2015</v>
      </c>
      <c r="AM72" s="889"/>
      <c r="AN72" s="890"/>
      <c r="AO72" s="891">
        <v>7</v>
      </c>
      <c r="AP72" s="892" t="s">
        <v>359</v>
      </c>
      <c r="AQ72" s="893">
        <v>8</v>
      </c>
      <c r="AR72" s="580">
        <v>6.44</v>
      </c>
      <c r="AS72" s="894"/>
      <c r="AT72" s="895" t="s">
        <v>341</v>
      </c>
      <c r="AU72" s="896" t="s">
        <v>359</v>
      </c>
      <c r="AV72" s="897" t="s">
        <v>342</v>
      </c>
      <c r="AW72" s="896" t="s">
        <v>359</v>
      </c>
      <c r="AX72" s="898">
        <v>2018</v>
      </c>
      <c r="AY72" s="899"/>
      <c r="AZ72" s="1034"/>
      <c r="BA72" s="901">
        <v>2.1800000000000002</v>
      </c>
      <c r="BB72" s="583">
        <v>3</v>
      </c>
      <c r="BC72" s="902">
        <v>32</v>
      </c>
      <c r="BD72" s="903">
        <v>4.4000000000000004</v>
      </c>
      <c r="BE72" s="903">
        <v>0.34</v>
      </c>
      <c r="BF72" s="904" t="s">
        <v>411</v>
      </c>
      <c r="BG72" s="905">
        <v>14</v>
      </c>
      <c r="BH72" s="906" t="s">
        <v>332</v>
      </c>
      <c r="BI72" s="907" t="s">
        <v>341</v>
      </c>
      <c r="BJ72" s="1428" t="s">
        <v>359</v>
      </c>
      <c r="BK72" s="909" t="s">
        <v>370</v>
      </c>
      <c r="BL72" s="908" t="s">
        <v>359</v>
      </c>
      <c r="BM72" s="910">
        <v>2019</v>
      </c>
      <c r="BN72" s="911"/>
      <c r="BO72" s="912"/>
      <c r="BP72" s="913">
        <v>15</v>
      </c>
      <c r="BQ72" s="914" t="s">
        <v>332</v>
      </c>
      <c r="BR72" s="907" t="s">
        <v>341</v>
      </c>
      <c r="BS72" s="896" t="s">
        <v>359</v>
      </c>
      <c r="BT72" s="915" t="s">
        <v>370</v>
      </c>
      <c r="BU72" s="896" t="s">
        <v>359</v>
      </c>
      <c r="BV72" s="910">
        <v>2020</v>
      </c>
      <c r="BW72" s="916" t="s">
        <v>435</v>
      </c>
      <c r="BX72" s="917"/>
      <c r="BY72" s="918">
        <v>0</v>
      </c>
      <c r="BZ72" s="904" t="s">
        <v>205</v>
      </c>
      <c r="CA72" s="919" t="s">
        <v>590</v>
      </c>
      <c r="CB72" s="581" t="s">
        <v>360</v>
      </c>
      <c r="CC72" s="920" t="s">
        <v>263</v>
      </c>
      <c r="CD72" s="584">
        <v>38</v>
      </c>
      <c r="CE72" s="576" t="s">
        <v>105</v>
      </c>
      <c r="CF72" s="576"/>
      <c r="CG72" s="921"/>
      <c r="CH72" s="576"/>
      <c r="CI72" s="922"/>
      <c r="CJ72" s="576" t="s">
        <v>205</v>
      </c>
      <c r="CK72" s="578" t="s">
        <v>205</v>
      </c>
      <c r="CL72" s="923"/>
      <c r="CM72" s="924"/>
      <c r="CN72" s="923"/>
      <c r="CO72" s="925"/>
      <c r="CP72" s="578" t="s">
        <v>205</v>
      </c>
      <c r="CQ72" s="923"/>
      <c r="CR72" s="924"/>
      <c r="CS72" s="923"/>
      <c r="CT72" s="925"/>
      <c r="CU72" s="926" t="s">
        <v>105</v>
      </c>
      <c r="CV72" s="927" t="s">
        <v>45</v>
      </c>
      <c r="CW72" s="928">
        <v>11</v>
      </c>
      <c r="CX72" s="929">
        <v>2025</v>
      </c>
      <c r="CY72" s="928">
        <v>8</v>
      </c>
      <c r="CZ72" s="929">
        <v>2025</v>
      </c>
      <c r="DA72" s="928">
        <v>5</v>
      </c>
      <c r="DB72" s="929">
        <v>2025</v>
      </c>
      <c r="DC72" s="930" t="s">
        <v>205</v>
      </c>
      <c r="DD72" s="931" t="s">
        <v>195</v>
      </c>
      <c r="DE72" s="931"/>
      <c r="DF72" s="584">
        <v>720</v>
      </c>
      <c r="DG72" s="584">
        <v>638</v>
      </c>
      <c r="DH72" s="584">
        <v>49</v>
      </c>
      <c r="DI72" s="584" t="s">
        <v>405</v>
      </c>
      <c r="DJ72" s="584"/>
      <c r="DK72" s="584"/>
      <c r="DL72" s="904" t="s">
        <v>209</v>
      </c>
      <c r="DM72" s="923" t="s">
        <v>208</v>
      </c>
      <c r="DN72" s="932"/>
      <c r="DO72" s="576"/>
      <c r="DP72" s="933"/>
      <c r="DQ72" s="932"/>
      <c r="DR72" s="925"/>
      <c r="DS72" s="934"/>
      <c r="DT72" s="579"/>
      <c r="DU72" s="577"/>
      <c r="DV72" s="899"/>
      <c r="DW72" s="937" t="s">
        <v>74</v>
      </c>
      <c r="DX72" s="936" t="s">
        <v>416</v>
      </c>
      <c r="DY72" s="937" t="s">
        <v>74</v>
      </c>
      <c r="DZ72" s="895" t="s">
        <v>341</v>
      </c>
      <c r="EA72" s="897" t="s">
        <v>359</v>
      </c>
      <c r="EB72" s="897" t="s">
        <v>342</v>
      </c>
      <c r="EC72" s="897" t="s">
        <v>359</v>
      </c>
      <c r="ED72" s="938" t="s">
        <v>377</v>
      </c>
      <c r="EE72" s="897">
        <v>0</v>
      </c>
      <c r="EF72" s="939" t="s">
        <v>205</v>
      </c>
      <c r="EG72" s="895" t="s">
        <v>341</v>
      </c>
      <c r="EH72" s="897" t="s">
        <v>359</v>
      </c>
      <c r="EI72" s="897" t="s">
        <v>342</v>
      </c>
      <c r="EJ72" s="897" t="s">
        <v>359</v>
      </c>
      <c r="EK72" s="938" t="s">
        <v>377</v>
      </c>
      <c r="EL72" s="576"/>
      <c r="EM72" s="578" t="s">
        <v>205</v>
      </c>
      <c r="EN72" s="582" t="s">
        <v>105</v>
      </c>
      <c r="EO72" s="899"/>
      <c r="EP72" s="940"/>
      <c r="EQ72" s="940"/>
      <c r="ER72" s="940"/>
      <c r="ES72" s="940"/>
      <c r="ET72" s="940"/>
      <c r="EU72" s="940"/>
      <c r="EV72" s="940"/>
      <c r="EW72" s="940"/>
      <c r="EX72" s="940"/>
      <c r="EY72" s="940"/>
      <c r="EZ72" s="940"/>
      <c r="FA72" s="940"/>
      <c r="FB72" s="940"/>
      <c r="FC72" s="940"/>
      <c r="FD72" s="940"/>
      <c r="FE72" s="940"/>
      <c r="FF72" s="940"/>
      <c r="FG72" s="940"/>
      <c r="FH72" s="940"/>
      <c r="FI72" s="940"/>
      <c r="FJ72" s="940"/>
      <c r="FK72" s="940"/>
      <c r="FL72" s="940"/>
      <c r="FM72" s="940"/>
      <c r="FN72" s="940"/>
      <c r="FO72" s="940"/>
      <c r="FP72" s="940"/>
      <c r="FQ72" s="940"/>
      <c r="FR72" s="940"/>
    </row>
    <row r="73" spans="1:174" s="1179" customFormat="1" ht="11.25" customHeight="1" x14ac:dyDescent="0.2">
      <c r="A73" s="864">
        <v>821</v>
      </c>
      <c r="B73" s="434">
        <v>178</v>
      </c>
      <c r="C73" s="576"/>
      <c r="D73" s="576" t="s">
        <v>134</v>
      </c>
      <c r="E73" s="575" t="s">
        <v>578</v>
      </c>
      <c r="F73" s="576" t="s">
        <v>380</v>
      </c>
      <c r="G73" s="866" t="s">
        <v>382</v>
      </c>
      <c r="H73" s="867" t="s">
        <v>359</v>
      </c>
      <c r="I73" s="866" t="s">
        <v>374</v>
      </c>
      <c r="J73" s="867" t="s">
        <v>359</v>
      </c>
      <c r="K73" s="575">
        <v>1973</v>
      </c>
      <c r="L73" s="868" t="s">
        <v>451</v>
      </c>
      <c r="M73" s="869" t="s">
        <v>455</v>
      </c>
      <c r="N73" s="870"/>
      <c r="O73" s="871" t="e">
        <v>#N/A</v>
      </c>
      <c r="P73" s="575"/>
      <c r="Q73" s="872" t="e">
        <v>#N/A</v>
      </c>
      <c r="R73" s="575" t="s">
        <v>579</v>
      </c>
      <c r="S73" s="575" t="s">
        <v>111</v>
      </c>
      <c r="T73" s="874" t="s">
        <v>94</v>
      </c>
      <c r="U73" s="875" t="s">
        <v>205</v>
      </c>
      <c r="V73" s="876" t="s">
        <v>424</v>
      </c>
      <c r="W73" s="877" t="s">
        <v>430</v>
      </c>
      <c r="X73" s="878" t="s">
        <v>426</v>
      </c>
      <c r="Y73" s="879" t="s">
        <v>430</v>
      </c>
      <c r="Z73" s="879" t="s">
        <v>426</v>
      </c>
      <c r="AA73" s="584" t="s">
        <v>410</v>
      </c>
      <c r="AB73" s="1033">
        <v>7</v>
      </c>
      <c r="AC73" s="881" t="s">
        <v>359</v>
      </c>
      <c r="AD73" s="882">
        <v>9</v>
      </c>
      <c r="AE73" s="883">
        <v>4.32</v>
      </c>
      <c r="AF73" s="884"/>
      <c r="AG73" s="885"/>
      <c r="AH73" s="886"/>
      <c r="AI73" s="887" t="s">
        <v>359</v>
      </c>
      <c r="AJ73" s="885"/>
      <c r="AK73" s="887" t="s">
        <v>359</v>
      </c>
      <c r="AL73" s="888"/>
      <c r="AM73" s="889"/>
      <c r="AN73" s="890"/>
      <c r="AO73" s="891">
        <v>8</v>
      </c>
      <c r="AP73" s="892" t="s">
        <v>359</v>
      </c>
      <c r="AQ73" s="893">
        <v>9</v>
      </c>
      <c r="AR73" s="580">
        <v>4.6500000000000004</v>
      </c>
      <c r="AS73" s="894"/>
      <c r="AT73" s="895" t="s">
        <v>341</v>
      </c>
      <c r="AU73" s="896" t="s">
        <v>359</v>
      </c>
      <c r="AV73" s="897" t="s">
        <v>341</v>
      </c>
      <c r="AW73" s="896" t="s">
        <v>359</v>
      </c>
      <c r="AX73" s="898">
        <v>2018</v>
      </c>
      <c r="AY73" s="899"/>
      <c r="AZ73" s="1034" t="s">
        <v>611</v>
      </c>
      <c r="BA73" s="901">
        <v>1.18</v>
      </c>
      <c r="BB73" s="583">
        <v>3</v>
      </c>
      <c r="BC73" s="902">
        <v>33</v>
      </c>
      <c r="BD73" s="903">
        <v>2.34</v>
      </c>
      <c r="BE73" s="903">
        <v>0.33</v>
      </c>
      <c r="BF73" s="904" t="s">
        <v>411</v>
      </c>
      <c r="BG73" s="905">
        <v>13</v>
      </c>
      <c r="BH73" s="906" t="s">
        <v>332</v>
      </c>
      <c r="BI73" s="907" t="s">
        <v>341</v>
      </c>
      <c r="BJ73" s="1428" t="s">
        <v>359</v>
      </c>
      <c r="BK73" s="909" t="s">
        <v>370</v>
      </c>
      <c r="BL73" s="908" t="s">
        <v>359</v>
      </c>
      <c r="BM73" s="910">
        <v>2019</v>
      </c>
      <c r="BN73" s="911"/>
      <c r="BO73" s="912"/>
      <c r="BP73" s="913">
        <v>14</v>
      </c>
      <c r="BQ73" s="914" t="s">
        <v>332</v>
      </c>
      <c r="BR73" s="907" t="s">
        <v>341</v>
      </c>
      <c r="BS73" s="896" t="s">
        <v>359</v>
      </c>
      <c r="BT73" s="915" t="s">
        <v>370</v>
      </c>
      <c r="BU73" s="896" t="s">
        <v>359</v>
      </c>
      <c r="BV73" s="910">
        <v>2020</v>
      </c>
      <c r="BW73" s="916" t="s">
        <v>607</v>
      </c>
      <c r="BX73" s="917"/>
      <c r="BY73" s="918">
        <v>0</v>
      </c>
      <c r="BZ73" s="904" t="s">
        <v>205</v>
      </c>
      <c r="CA73" s="919" t="s">
        <v>630</v>
      </c>
      <c r="CB73" s="581" t="s">
        <v>360</v>
      </c>
      <c r="CC73" s="920" t="s">
        <v>263</v>
      </c>
      <c r="CD73" s="584">
        <v>37</v>
      </c>
      <c r="CE73" s="576" t="s">
        <v>105</v>
      </c>
      <c r="CF73" s="576"/>
      <c r="CG73" s="921"/>
      <c r="CH73" s="576"/>
      <c r="CI73" s="922"/>
      <c r="CJ73" s="576" t="s">
        <v>205</v>
      </c>
      <c r="CK73" s="578" t="s">
        <v>205</v>
      </c>
      <c r="CL73" s="923"/>
      <c r="CM73" s="924"/>
      <c r="CN73" s="923"/>
      <c r="CO73" s="925"/>
      <c r="CP73" s="578" t="s">
        <v>261</v>
      </c>
      <c r="CQ73" s="923">
        <v>6</v>
      </c>
      <c r="CR73" s="932">
        <v>2013</v>
      </c>
      <c r="CS73" s="923"/>
      <c r="CT73" s="925"/>
      <c r="CU73" s="926" t="s">
        <v>105</v>
      </c>
      <c r="CV73" s="927" t="s">
        <v>45</v>
      </c>
      <c r="CW73" s="928">
        <v>2</v>
      </c>
      <c r="CX73" s="929">
        <v>2028</v>
      </c>
      <c r="CY73" s="928">
        <v>11</v>
      </c>
      <c r="CZ73" s="929">
        <v>2027</v>
      </c>
      <c r="DA73" s="928">
        <v>8</v>
      </c>
      <c r="DB73" s="929">
        <v>2027</v>
      </c>
      <c r="DC73" s="930" t="s">
        <v>205</v>
      </c>
      <c r="DD73" s="931" t="s">
        <v>195</v>
      </c>
      <c r="DE73" s="931"/>
      <c r="DF73" s="584">
        <v>660</v>
      </c>
      <c r="DG73" s="584">
        <v>551</v>
      </c>
      <c r="DH73" s="584">
        <v>41</v>
      </c>
      <c r="DI73" s="584" t="s">
        <v>406</v>
      </c>
      <c r="DJ73" s="584"/>
      <c r="DK73" s="584"/>
      <c r="DL73" s="904" t="s">
        <v>207</v>
      </c>
      <c r="DM73" s="923" t="s">
        <v>208</v>
      </c>
      <c r="DN73" s="932"/>
      <c r="DO73" s="576" t="s">
        <v>261</v>
      </c>
      <c r="DP73" s="933">
        <v>6</v>
      </c>
      <c r="DQ73" s="932">
        <v>2013</v>
      </c>
      <c r="DR73" s="925"/>
      <c r="DS73" s="934"/>
      <c r="DT73" s="579"/>
      <c r="DU73" s="577"/>
      <c r="DV73" s="899"/>
      <c r="DW73" s="937" t="s">
        <v>63</v>
      </c>
      <c r="DX73" s="936" t="s">
        <v>416</v>
      </c>
      <c r="DY73" s="937" t="s">
        <v>63</v>
      </c>
      <c r="DZ73" s="895" t="s">
        <v>341</v>
      </c>
      <c r="EA73" s="897" t="s">
        <v>359</v>
      </c>
      <c r="EB73" s="897" t="s">
        <v>348</v>
      </c>
      <c r="EC73" s="897" t="s">
        <v>359</v>
      </c>
      <c r="ED73" s="938">
        <v>2012</v>
      </c>
      <c r="EE73" s="897">
        <v>0</v>
      </c>
      <c r="EF73" s="939" t="s">
        <v>205</v>
      </c>
      <c r="EG73" s="895" t="s">
        <v>341</v>
      </c>
      <c r="EH73" s="897" t="s">
        <v>359</v>
      </c>
      <c r="EI73" s="897" t="s">
        <v>348</v>
      </c>
      <c r="EJ73" s="897" t="s">
        <v>359</v>
      </c>
      <c r="EK73" s="938">
        <v>2012</v>
      </c>
      <c r="EL73" s="576"/>
      <c r="EM73" s="578" t="s">
        <v>205</v>
      </c>
      <c r="EN73" s="582" t="s">
        <v>105</v>
      </c>
      <c r="EO73" s="899"/>
      <c r="EP73" s="940"/>
      <c r="EQ73" s="940"/>
      <c r="ER73" s="940"/>
      <c r="ES73" s="940"/>
      <c r="ET73" s="940"/>
      <c r="EU73" s="940"/>
      <c r="EV73" s="940"/>
      <c r="EW73" s="940"/>
      <c r="EX73" s="940"/>
      <c r="EY73" s="940"/>
      <c r="EZ73" s="940"/>
      <c r="FA73" s="940"/>
      <c r="FB73" s="940"/>
      <c r="FC73" s="940"/>
      <c r="FD73" s="940"/>
      <c r="FE73" s="940"/>
      <c r="FF73" s="940"/>
      <c r="FG73" s="940"/>
      <c r="FH73" s="940"/>
      <c r="FI73" s="940"/>
      <c r="FJ73" s="940"/>
      <c r="FK73" s="940"/>
      <c r="FL73" s="940"/>
      <c r="FM73" s="940"/>
      <c r="FN73" s="940"/>
      <c r="FO73" s="940"/>
      <c r="FP73" s="940"/>
      <c r="FQ73" s="940"/>
      <c r="FR73" s="940"/>
    </row>
    <row r="74" spans="1:174" s="940" customFormat="1" ht="11.25" customHeight="1" x14ac:dyDescent="0.2">
      <c r="A74" s="864"/>
      <c r="B74" s="942"/>
      <c r="C74" s="576"/>
      <c r="D74" s="864"/>
      <c r="E74" s="1187"/>
      <c r="F74" s="864"/>
      <c r="G74" s="1188"/>
      <c r="H74" s="1189"/>
      <c r="I74" s="1188"/>
      <c r="J74" s="1189"/>
      <c r="K74" s="1190"/>
      <c r="L74" s="868"/>
      <c r="M74" s="869"/>
      <c r="N74" s="870"/>
      <c r="O74" s="871"/>
      <c r="P74" s="1180"/>
      <c r="Q74" s="872"/>
      <c r="R74" s="1190"/>
      <c r="S74" s="873"/>
      <c r="T74" s="1191"/>
      <c r="U74" s="1192"/>
      <c r="V74" s="876"/>
      <c r="W74" s="1193"/>
      <c r="X74" s="1194"/>
      <c r="Y74" s="879"/>
      <c r="Z74" s="879"/>
      <c r="AA74" s="584"/>
      <c r="AB74" s="1195"/>
      <c r="AC74" s="1196"/>
      <c r="AD74" s="1197"/>
      <c r="AE74" s="883"/>
      <c r="AF74" s="884"/>
      <c r="AG74" s="884"/>
      <c r="AH74" s="884"/>
      <c r="AI74" s="1198"/>
      <c r="AJ74" s="884"/>
      <c r="AK74" s="1198"/>
      <c r="AL74" s="1199"/>
      <c r="AM74" s="911"/>
      <c r="AN74" s="1200"/>
      <c r="AO74" s="1201"/>
      <c r="AP74" s="887"/>
      <c r="AQ74" s="1202"/>
      <c r="AR74" s="1203"/>
      <c r="AS74" s="1198"/>
      <c r="AT74" s="1204"/>
      <c r="AU74" s="908"/>
      <c r="AV74" s="1205"/>
      <c r="AW74" s="908"/>
      <c r="AX74" s="910"/>
      <c r="AY74" s="1206"/>
      <c r="AZ74" s="1207"/>
      <c r="BA74" s="1208"/>
      <c r="BB74" s="1209"/>
      <c r="BC74" s="1210"/>
      <c r="BD74" s="903"/>
      <c r="BE74" s="903"/>
      <c r="BF74" s="1211"/>
      <c r="BG74" s="1212"/>
      <c r="BH74" s="1213"/>
      <c r="BI74" s="907"/>
      <c r="BJ74" s="1428"/>
      <c r="BK74" s="909"/>
      <c r="BL74" s="908"/>
      <c r="BM74" s="910"/>
      <c r="BN74" s="911"/>
      <c r="BO74" s="1214"/>
      <c r="BP74" s="1215"/>
      <c r="BQ74" s="1216"/>
      <c r="BR74" s="907"/>
      <c r="BS74" s="908"/>
      <c r="BT74" s="909"/>
      <c r="BU74" s="908"/>
      <c r="BV74" s="910"/>
      <c r="BW74" s="1217"/>
      <c r="BX74" s="917"/>
      <c r="BY74" s="918"/>
      <c r="BZ74" s="1211"/>
      <c r="CA74" s="919"/>
      <c r="CB74" s="1218"/>
      <c r="CC74" s="1219"/>
      <c r="CD74" s="1220"/>
      <c r="CE74" s="864"/>
      <c r="CF74" s="864"/>
      <c r="CG74" s="1221"/>
      <c r="CH74" s="864"/>
      <c r="CI74" s="864"/>
      <c r="CJ74" s="864"/>
      <c r="CK74" s="1222"/>
      <c r="CL74" s="1223"/>
      <c r="CM74" s="1224"/>
      <c r="CN74" s="1223"/>
      <c r="CO74" s="1225"/>
      <c r="CP74" s="1222"/>
      <c r="CQ74" s="1223"/>
      <c r="CR74" s="1224"/>
      <c r="CS74" s="1223"/>
      <c r="CT74" s="1225"/>
      <c r="CU74" s="1226"/>
      <c r="CV74" s="1227"/>
      <c r="CW74" s="1228"/>
      <c r="CX74" s="1229"/>
      <c r="CY74" s="1228"/>
      <c r="CZ74" s="1229"/>
      <c r="DA74" s="1228"/>
      <c r="DB74" s="1229"/>
      <c r="DC74" s="1230"/>
      <c r="DD74" s="1231"/>
      <c r="DE74" s="1231"/>
      <c r="DF74" s="1220"/>
      <c r="DG74" s="1220"/>
      <c r="DH74" s="1220"/>
      <c r="DI74" s="1220"/>
      <c r="DJ74" s="1194"/>
      <c r="DK74" s="1232"/>
      <c r="DL74" s="1211"/>
      <c r="DM74" s="1223"/>
      <c r="DN74" s="1233"/>
      <c r="DO74" s="864"/>
      <c r="DP74" s="1234"/>
      <c r="DQ74" s="1225"/>
      <c r="DR74" s="1233"/>
      <c r="DS74" s="1235"/>
      <c r="DT74" s="1189"/>
      <c r="DU74" s="1236"/>
      <c r="DV74" s="1237"/>
      <c r="DW74" s="1238"/>
      <c r="DX74" s="936"/>
      <c r="DY74" s="1238"/>
      <c r="DZ74" s="1239"/>
      <c r="EA74" s="1205"/>
      <c r="EB74" s="1205"/>
      <c r="EC74" s="1205"/>
      <c r="ED74" s="1240"/>
      <c r="EE74" s="1205"/>
      <c r="EF74" s="1241"/>
      <c r="EG74" s="1239"/>
      <c r="EH74" s="1205"/>
      <c r="EI74" s="1205"/>
      <c r="EJ74" s="1205"/>
      <c r="EK74" s="1240"/>
      <c r="EL74" s="1242"/>
      <c r="EM74" s="1222"/>
      <c r="EN74" s="1243"/>
      <c r="EO74" s="1206"/>
      <c r="EP74" s="1244"/>
      <c r="EQ74" s="1244"/>
      <c r="ER74" s="1244"/>
      <c r="ES74" s="1244"/>
      <c r="ET74" s="1244"/>
      <c r="EU74" s="1244"/>
      <c r="EV74" s="1244"/>
      <c r="EW74" s="1244"/>
      <c r="EX74" s="1244"/>
      <c r="EY74" s="1244"/>
      <c r="EZ74" s="1244"/>
      <c r="FA74" s="1244"/>
      <c r="FB74" s="1244"/>
      <c r="FC74" s="1244"/>
      <c r="FD74" s="1244"/>
      <c r="FE74" s="1244"/>
      <c r="FF74" s="1244"/>
      <c r="FG74" s="1244"/>
      <c r="FH74" s="1244"/>
      <c r="FI74" s="1244"/>
      <c r="FJ74" s="1244"/>
      <c r="FK74" s="1244"/>
      <c r="FL74" s="1244"/>
    </row>
    <row r="75" spans="1:174" s="940" customFormat="1" ht="11.25" customHeight="1" x14ac:dyDescent="0.2">
      <c r="A75" s="864"/>
      <c r="B75" s="942"/>
      <c r="C75" s="576"/>
      <c r="D75" s="576"/>
      <c r="E75" s="575"/>
      <c r="F75" s="576"/>
      <c r="G75" s="866"/>
      <c r="H75" s="867"/>
      <c r="I75" s="866"/>
      <c r="J75" s="867"/>
      <c r="K75" s="575"/>
      <c r="L75" s="868"/>
      <c r="M75" s="869"/>
      <c r="N75" s="870"/>
      <c r="O75" s="871"/>
      <c r="P75" s="575"/>
      <c r="Q75" s="872"/>
      <c r="R75" s="575"/>
      <c r="S75" s="873"/>
      <c r="T75" s="874"/>
      <c r="U75" s="875"/>
      <c r="V75" s="876"/>
      <c r="W75" s="877"/>
      <c r="X75" s="878"/>
      <c r="Y75" s="879"/>
      <c r="Z75" s="879"/>
      <c r="AA75" s="584"/>
      <c r="AB75" s="1033"/>
      <c r="AC75" s="881"/>
      <c r="AD75" s="882"/>
      <c r="AE75" s="883"/>
      <c r="AF75" s="884"/>
      <c r="AG75" s="884"/>
      <c r="AH75" s="886"/>
      <c r="AI75" s="887"/>
      <c r="AJ75" s="885"/>
      <c r="AK75" s="887"/>
      <c r="AL75" s="888"/>
      <c r="AM75" s="889"/>
      <c r="AN75" s="890"/>
      <c r="AO75" s="1181"/>
      <c r="AP75" s="1245"/>
      <c r="AQ75" s="893"/>
      <c r="AR75" s="580"/>
      <c r="AS75" s="894"/>
      <c r="AT75" s="895"/>
      <c r="AU75" s="896"/>
      <c r="AV75" s="897"/>
      <c r="AW75" s="896"/>
      <c r="AX75" s="898"/>
      <c r="AY75" s="899"/>
      <c r="AZ75" s="900"/>
      <c r="BA75" s="901"/>
      <c r="BB75" s="583"/>
      <c r="BC75" s="902"/>
      <c r="BD75" s="903"/>
      <c r="BE75" s="903"/>
      <c r="BF75" s="904"/>
      <c r="BG75" s="905"/>
      <c r="BH75" s="906"/>
      <c r="BI75" s="907"/>
      <c r="BJ75" s="1428"/>
      <c r="BK75" s="909"/>
      <c r="BL75" s="908"/>
      <c r="BM75" s="910"/>
      <c r="BN75" s="911"/>
      <c r="BO75" s="912"/>
      <c r="BP75" s="913"/>
      <c r="BQ75" s="914"/>
      <c r="BR75" s="907"/>
      <c r="BS75" s="896"/>
      <c r="BT75" s="915"/>
      <c r="BU75" s="896"/>
      <c r="BV75" s="910"/>
      <c r="BW75" s="916"/>
      <c r="BX75" s="917"/>
      <c r="BY75" s="918"/>
      <c r="BZ75" s="904"/>
      <c r="CA75" s="919"/>
      <c r="CB75" s="581"/>
      <c r="CC75" s="920"/>
      <c r="CD75" s="584"/>
      <c r="CE75" s="576"/>
      <c r="CF75" s="576"/>
      <c r="CG75" s="921"/>
      <c r="CH75" s="576"/>
      <c r="CI75" s="922"/>
      <c r="CJ75" s="576"/>
      <c r="CK75" s="578"/>
      <c r="CL75" s="923"/>
      <c r="CM75" s="924"/>
      <c r="CN75" s="923"/>
      <c r="CO75" s="925"/>
      <c r="CP75" s="578"/>
      <c r="CQ75" s="923"/>
      <c r="CR75" s="924"/>
      <c r="CS75" s="923"/>
      <c r="CT75" s="925"/>
      <c r="CU75" s="926"/>
      <c r="CV75" s="927"/>
      <c r="CW75" s="928"/>
      <c r="CX75" s="929"/>
      <c r="CY75" s="928"/>
      <c r="CZ75" s="929"/>
      <c r="DA75" s="928"/>
      <c r="DB75" s="929"/>
      <c r="DC75" s="930"/>
      <c r="DD75" s="931"/>
      <c r="DE75" s="931"/>
      <c r="DF75" s="584"/>
      <c r="DG75" s="584"/>
      <c r="DH75" s="584"/>
      <c r="DI75" s="584"/>
      <c r="DJ75" s="584"/>
      <c r="DK75" s="584"/>
      <c r="DL75" s="904"/>
      <c r="DM75" s="923"/>
      <c r="DN75" s="932"/>
      <c r="DO75" s="576"/>
      <c r="DP75" s="933"/>
      <c r="DQ75" s="932"/>
      <c r="DR75" s="925"/>
      <c r="DS75" s="934"/>
      <c r="DT75" s="579"/>
      <c r="DU75" s="577"/>
      <c r="DV75" s="899"/>
      <c r="DW75" s="937"/>
      <c r="DX75" s="936"/>
      <c r="DY75" s="937"/>
      <c r="DZ75" s="895"/>
      <c r="EA75" s="897"/>
      <c r="EB75" s="897"/>
      <c r="EC75" s="897"/>
      <c r="ED75" s="938"/>
      <c r="EE75" s="897"/>
      <c r="EF75" s="939"/>
      <c r="EG75" s="895"/>
      <c r="EH75" s="897"/>
      <c r="EI75" s="897"/>
      <c r="EJ75" s="897"/>
      <c r="EK75" s="938"/>
      <c r="EL75" s="576"/>
      <c r="EM75" s="578"/>
      <c r="EN75" s="582"/>
      <c r="EO75" s="899"/>
      <c r="FN75" s="1246"/>
      <c r="FO75" s="1246"/>
      <c r="FP75" s="1246"/>
      <c r="FQ75" s="1246"/>
      <c r="FR75" s="1246"/>
    </row>
    <row r="76" spans="1:174" s="1179" customFormat="1" ht="13.5" customHeight="1" x14ac:dyDescent="0.2">
      <c r="A76" s="864"/>
      <c r="B76" s="942"/>
      <c r="C76" s="576"/>
      <c r="D76" s="576"/>
      <c r="E76" s="575"/>
      <c r="F76" s="576"/>
      <c r="G76" s="866"/>
      <c r="H76" s="867"/>
      <c r="I76" s="866"/>
      <c r="J76" s="867"/>
      <c r="K76" s="575"/>
      <c r="L76" s="868"/>
      <c r="M76" s="869"/>
      <c r="N76" s="870"/>
      <c r="O76" s="871"/>
      <c r="P76" s="575"/>
      <c r="Q76" s="872"/>
      <c r="R76" s="575"/>
      <c r="S76" s="873"/>
      <c r="T76" s="874"/>
      <c r="U76" s="875"/>
      <c r="V76" s="876"/>
      <c r="W76" s="877"/>
      <c r="X76" s="878"/>
      <c r="Y76" s="879"/>
      <c r="Z76" s="879"/>
      <c r="AA76" s="584"/>
      <c r="AB76" s="1033"/>
      <c r="AC76" s="881"/>
      <c r="AD76" s="882"/>
      <c r="AE76" s="883"/>
      <c r="AF76" s="884"/>
      <c r="AG76" s="884"/>
      <c r="AH76" s="886"/>
      <c r="AI76" s="1035"/>
      <c r="AJ76" s="885"/>
      <c r="AK76" s="887"/>
      <c r="AL76" s="888"/>
      <c r="AM76" s="889"/>
      <c r="AN76" s="890"/>
      <c r="AO76" s="1181"/>
      <c r="AP76" s="1245"/>
      <c r="AQ76" s="893"/>
      <c r="AR76" s="580"/>
      <c r="AS76" s="894"/>
      <c r="AT76" s="895"/>
      <c r="AU76" s="1036"/>
      <c r="AV76" s="897"/>
      <c r="AW76" s="896"/>
      <c r="AX76" s="898"/>
      <c r="AY76" s="588"/>
      <c r="AZ76" s="1247"/>
      <c r="BA76" s="901"/>
      <c r="BB76" s="583"/>
      <c r="BC76" s="902"/>
      <c r="BD76" s="903"/>
      <c r="BE76" s="903"/>
      <c r="BF76" s="904"/>
      <c r="BG76" s="905"/>
      <c r="BH76" s="906"/>
      <c r="BI76" s="907"/>
      <c r="BJ76" s="1428"/>
      <c r="BK76" s="909"/>
      <c r="BL76" s="908"/>
      <c r="BM76" s="910"/>
      <c r="BN76" s="911"/>
      <c r="BO76" s="912"/>
      <c r="BP76" s="913"/>
      <c r="BQ76" s="914"/>
      <c r="BR76" s="907"/>
      <c r="BS76" s="896"/>
      <c r="BT76" s="915"/>
      <c r="BU76" s="896"/>
      <c r="BV76" s="910"/>
      <c r="BW76" s="916"/>
      <c r="BX76" s="917"/>
      <c r="BY76" s="918"/>
      <c r="BZ76" s="904"/>
      <c r="CA76" s="919"/>
      <c r="CB76" s="581"/>
      <c r="CC76" s="920"/>
      <c r="CD76" s="584"/>
      <c r="CE76" s="576"/>
      <c r="CF76" s="576"/>
      <c r="CG76" s="921"/>
      <c r="CH76" s="576"/>
      <c r="CI76" s="922"/>
      <c r="CJ76" s="576"/>
      <c r="CK76" s="578"/>
      <c r="CL76" s="923"/>
      <c r="CM76" s="924"/>
      <c r="CN76" s="923"/>
      <c r="CO76" s="925"/>
      <c r="CP76" s="578"/>
      <c r="CQ76" s="923"/>
      <c r="CR76" s="924"/>
      <c r="CS76" s="923"/>
      <c r="CT76" s="925"/>
      <c r="CU76" s="926"/>
      <c r="CV76" s="927"/>
      <c r="CW76" s="928"/>
      <c r="CX76" s="929"/>
      <c r="CY76" s="928"/>
      <c r="CZ76" s="929"/>
      <c r="DA76" s="928"/>
      <c r="DB76" s="929"/>
      <c r="DC76" s="930"/>
      <c r="DD76" s="931"/>
      <c r="DE76" s="931"/>
      <c r="DF76" s="584"/>
      <c r="DG76" s="584"/>
      <c r="DH76" s="584"/>
      <c r="DI76" s="584"/>
      <c r="DJ76" s="584"/>
      <c r="DK76" s="584"/>
      <c r="DL76" s="904"/>
      <c r="DM76" s="923"/>
      <c r="DN76" s="932"/>
      <c r="DO76" s="576"/>
      <c r="DP76" s="933"/>
      <c r="DQ76" s="932"/>
      <c r="DR76" s="925"/>
      <c r="DS76" s="934"/>
      <c r="DT76" s="579"/>
      <c r="DU76" s="577"/>
      <c r="DV76" s="899"/>
      <c r="DW76" s="937"/>
      <c r="DX76" s="936"/>
      <c r="DY76" s="937"/>
      <c r="DZ76" s="1185"/>
      <c r="EA76" s="897"/>
      <c r="EB76" s="589"/>
      <c r="EC76" s="897"/>
      <c r="ED76" s="938"/>
      <c r="EE76" s="897"/>
      <c r="EF76" s="939"/>
      <c r="EG76" s="1185"/>
      <c r="EH76" s="897"/>
      <c r="EI76" s="589"/>
      <c r="EJ76" s="897"/>
      <c r="EK76" s="938"/>
      <c r="EL76" s="576"/>
      <c r="EM76" s="578"/>
      <c r="EN76" s="582"/>
      <c r="EO76" s="899"/>
      <c r="EP76" s="940"/>
      <c r="EQ76" s="940"/>
      <c r="ER76" s="940"/>
      <c r="ES76" s="940"/>
      <c r="ET76" s="940"/>
      <c r="EU76" s="940"/>
      <c r="EV76" s="940"/>
      <c r="EW76" s="940"/>
      <c r="EX76" s="940"/>
      <c r="EY76" s="940"/>
      <c r="EZ76" s="940"/>
      <c r="FA76" s="940"/>
      <c r="FB76" s="940"/>
      <c r="FC76" s="940"/>
      <c r="FD76" s="940"/>
      <c r="FE76" s="940"/>
      <c r="FF76" s="940"/>
      <c r="FG76" s="940"/>
      <c r="FH76" s="940"/>
      <c r="FI76" s="940"/>
      <c r="FJ76" s="940"/>
      <c r="FK76" s="940"/>
      <c r="FL76" s="940"/>
      <c r="FM76" s="940"/>
    </row>
    <row r="77" spans="1:174" s="1179" customFormat="1" ht="13.5" customHeight="1" x14ac:dyDescent="0.2">
      <c r="A77" s="864"/>
      <c r="B77" s="865"/>
      <c r="C77" s="576"/>
      <c r="D77" s="576"/>
      <c r="E77" s="575"/>
      <c r="F77" s="576"/>
      <c r="G77" s="866"/>
      <c r="H77" s="867"/>
      <c r="I77" s="866"/>
      <c r="J77" s="867"/>
      <c r="K77" s="575"/>
      <c r="L77" s="868"/>
      <c r="M77" s="869"/>
      <c r="N77" s="870"/>
      <c r="O77" s="871"/>
      <c r="P77" s="575"/>
      <c r="Q77" s="872"/>
      <c r="R77" s="575"/>
      <c r="S77" s="873"/>
      <c r="T77" s="874"/>
      <c r="U77" s="875"/>
      <c r="V77" s="876"/>
      <c r="W77" s="877"/>
      <c r="X77" s="878"/>
      <c r="Y77" s="879"/>
      <c r="Z77" s="879"/>
      <c r="AA77" s="584"/>
      <c r="AB77" s="1033"/>
      <c r="AC77" s="881"/>
      <c r="AD77" s="882"/>
      <c r="AE77" s="883"/>
      <c r="AF77" s="884"/>
      <c r="AG77" s="884"/>
      <c r="AH77" s="886"/>
      <c r="AI77" s="1035"/>
      <c r="AJ77" s="885"/>
      <c r="AK77" s="887"/>
      <c r="AL77" s="888"/>
      <c r="AM77" s="889"/>
      <c r="AN77" s="890"/>
      <c r="AO77" s="1181"/>
      <c r="AP77" s="1245"/>
      <c r="AQ77" s="893"/>
      <c r="AR77" s="580"/>
      <c r="AS77" s="894"/>
      <c r="AT77" s="895"/>
      <c r="AU77" s="1036"/>
      <c r="AV77" s="897"/>
      <c r="AW77" s="896"/>
      <c r="AX77" s="898"/>
      <c r="AY77" s="588"/>
      <c r="AZ77" s="1247"/>
      <c r="BA77" s="901"/>
      <c r="BB77" s="583"/>
      <c r="BC77" s="902"/>
      <c r="BD77" s="903"/>
      <c r="BE77" s="903"/>
      <c r="BF77" s="904"/>
      <c r="BG77" s="905"/>
      <c r="BH77" s="906"/>
      <c r="BI77" s="907"/>
      <c r="BJ77" s="1428"/>
      <c r="BK77" s="909"/>
      <c r="BL77" s="908"/>
      <c r="BM77" s="910"/>
      <c r="BN77" s="911"/>
      <c r="BO77" s="912"/>
      <c r="BP77" s="913"/>
      <c r="BQ77" s="914"/>
      <c r="BR77" s="907"/>
      <c r="BS77" s="896"/>
      <c r="BT77" s="915"/>
      <c r="BU77" s="896"/>
      <c r="BV77" s="910"/>
      <c r="BW77" s="916"/>
      <c r="BX77" s="917"/>
      <c r="BY77" s="918"/>
      <c r="BZ77" s="904"/>
      <c r="CA77" s="919"/>
      <c r="CB77" s="581"/>
      <c r="CC77" s="920"/>
      <c r="CD77" s="584"/>
      <c r="CE77" s="576"/>
      <c r="CF77" s="576"/>
      <c r="CG77" s="921"/>
      <c r="CH77" s="576"/>
      <c r="CI77" s="922"/>
      <c r="CJ77" s="576"/>
      <c r="CK77" s="578"/>
      <c r="CL77" s="923"/>
      <c r="CM77" s="924"/>
      <c r="CN77" s="923"/>
      <c r="CO77" s="925"/>
      <c r="CP77" s="578"/>
      <c r="CQ77" s="923"/>
      <c r="CR77" s="924"/>
      <c r="CS77" s="923"/>
      <c r="CT77" s="925"/>
      <c r="CU77" s="926"/>
      <c r="CV77" s="927"/>
      <c r="CW77" s="928"/>
      <c r="CX77" s="929"/>
      <c r="CY77" s="928"/>
      <c r="CZ77" s="929"/>
      <c r="DA77" s="928"/>
      <c r="DB77" s="929"/>
      <c r="DC77" s="930"/>
      <c r="DD77" s="931"/>
      <c r="DE77" s="931"/>
      <c r="DF77" s="584"/>
      <c r="DG77" s="584"/>
      <c r="DH77" s="584"/>
      <c r="DI77" s="584"/>
      <c r="DJ77" s="584"/>
      <c r="DK77" s="584"/>
      <c r="DL77" s="904"/>
      <c r="DM77" s="923"/>
      <c r="DN77" s="932"/>
      <c r="DO77" s="576"/>
      <c r="DP77" s="933"/>
      <c r="DQ77" s="932"/>
      <c r="DR77" s="925"/>
      <c r="DS77" s="934"/>
      <c r="DT77" s="579"/>
      <c r="DU77" s="577"/>
      <c r="DV77" s="899"/>
      <c r="DW77" s="937"/>
      <c r="DX77" s="936"/>
      <c r="DY77" s="937"/>
      <c r="DZ77" s="1185"/>
      <c r="EA77" s="897"/>
      <c r="EB77" s="589"/>
      <c r="EC77" s="897"/>
      <c r="ED77" s="938"/>
      <c r="EE77" s="897"/>
      <c r="EF77" s="939"/>
      <c r="EG77" s="1185"/>
      <c r="EH77" s="897"/>
      <c r="EI77" s="589"/>
      <c r="EJ77" s="897"/>
      <c r="EK77" s="938"/>
      <c r="EL77" s="576"/>
      <c r="EM77" s="578"/>
      <c r="EN77" s="582"/>
      <c r="EO77" s="899"/>
      <c r="EP77" s="940"/>
      <c r="EQ77" s="940"/>
      <c r="ER77" s="940"/>
      <c r="ES77" s="940"/>
      <c r="ET77" s="940"/>
      <c r="EU77" s="940"/>
      <c r="EV77" s="940"/>
      <c r="EW77" s="940"/>
      <c r="EX77" s="940"/>
      <c r="EY77" s="940"/>
      <c r="EZ77" s="940"/>
      <c r="FA77" s="940"/>
      <c r="FB77" s="940"/>
      <c r="FC77" s="940"/>
      <c r="FD77" s="940"/>
      <c r="FE77" s="940"/>
      <c r="FF77" s="940"/>
      <c r="FG77" s="940"/>
      <c r="FH77" s="940"/>
      <c r="FI77" s="940"/>
      <c r="FJ77" s="940"/>
      <c r="FK77" s="940"/>
      <c r="FL77" s="940"/>
      <c r="FM77" s="940"/>
      <c r="FN77" s="1038"/>
      <c r="FO77" s="1038"/>
      <c r="FP77" s="1038"/>
      <c r="FQ77" s="1038"/>
      <c r="FR77" s="1038"/>
    </row>
    <row r="78" spans="1:174" s="1038" customFormat="1" ht="11.25" customHeight="1" x14ac:dyDescent="0.2">
      <c r="A78" s="864"/>
      <c r="B78" s="865"/>
      <c r="C78" s="576"/>
      <c r="D78" s="576"/>
      <c r="E78" s="575"/>
      <c r="F78" s="576"/>
      <c r="G78" s="866"/>
      <c r="H78" s="867"/>
      <c r="I78" s="866"/>
      <c r="J78" s="867"/>
      <c r="K78" s="575"/>
      <c r="L78" s="868"/>
      <c r="M78" s="869"/>
      <c r="N78" s="870"/>
      <c r="O78" s="871"/>
      <c r="P78" s="575"/>
      <c r="Q78" s="872"/>
      <c r="R78" s="575"/>
      <c r="S78" s="1248"/>
      <c r="T78" s="874"/>
      <c r="U78" s="875"/>
      <c r="V78" s="876"/>
      <c r="W78" s="877"/>
      <c r="X78" s="878"/>
      <c r="Y78" s="879"/>
      <c r="Z78" s="879"/>
      <c r="AA78" s="584"/>
      <c r="AB78" s="1033"/>
      <c r="AC78" s="881"/>
      <c r="AD78" s="882"/>
      <c r="AE78" s="883"/>
      <c r="AF78" s="1181"/>
      <c r="AG78" s="894"/>
      <c r="AH78" s="886"/>
      <c r="AI78" s="887"/>
      <c r="AJ78" s="885"/>
      <c r="AK78" s="887"/>
      <c r="AL78" s="1249"/>
      <c r="AM78" s="889"/>
      <c r="AN78" s="890"/>
      <c r="AO78" s="1250"/>
      <c r="AP78" s="1251"/>
      <c r="AQ78" s="1183"/>
      <c r="AR78" s="1184"/>
      <c r="AS78" s="894"/>
      <c r="AT78" s="895"/>
      <c r="AU78" s="1036"/>
      <c r="AV78" s="897"/>
      <c r="AW78" s="896"/>
      <c r="AX78" s="898"/>
      <c r="AY78" s="588"/>
      <c r="AZ78" s="1252"/>
      <c r="BA78" s="901"/>
      <c r="BB78" s="583"/>
      <c r="BC78" s="902"/>
      <c r="BD78" s="903"/>
      <c r="BE78" s="903"/>
      <c r="BF78" s="904"/>
      <c r="BG78" s="905"/>
      <c r="BH78" s="906"/>
      <c r="BI78" s="907"/>
      <c r="BJ78" s="1428"/>
      <c r="BK78" s="909"/>
      <c r="BL78" s="908"/>
      <c r="BM78" s="910"/>
      <c r="BN78" s="911"/>
      <c r="BO78" s="912"/>
      <c r="BP78" s="913"/>
      <c r="BQ78" s="914"/>
      <c r="BR78" s="907"/>
      <c r="BS78" s="896"/>
      <c r="BT78" s="915"/>
      <c r="BU78" s="896"/>
      <c r="BV78" s="910"/>
      <c r="BW78" s="1253"/>
      <c r="BX78" s="917"/>
      <c r="BY78" s="918"/>
      <c r="BZ78" s="904"/>
      <c r="CA78" s="919"/>
      <c r="CB78" s="581"/>
      <c r="CC78" s="920"/>
      <c r="CD78" s="584"/>
      <c r="CE78" s="576"/>
      <c r="CF78" s="576"/>
      <c r="CG78" s="921"/>
      <c r="CH78" s="576"/>
      <c r="CI78" s="576"/>
      <c r="CJ78" s="576"/>
      <c r="CK78" s="578"/>
      <c r="CL78" s="923"/>
      <c r="CM78" s="924"/>
      <c r="CN78" s="923"/>
      <c r="CO78" s="925"/>
      <c r="CP78" s="578"/>
      <c r="CQ78" s="923"/>
      <c r="CR78" s="924"/>
      <c r="CS78" s="923"/>
      <c r="CT78" s="925"/>
      <c r="CU78" s="926"/>
      <c r="CV78" s="927"/>
      <c r="CW78" s="928"/>
      <c r="CX78" s="929"/>
      <c r="CY78" s="928"/>
      <c r="CZ78" s="929"/>
      <c r="DA78" s="928"/>
      <c r="DB78" s="929"/>
      <c r="DC78" s="930"/>
      <c r="DD78" s="931"/>
      <c r="DE78" s="931"/>
      <c r="DF78" s="584"/>
      <c r="DG78" s="584"/>
      <c r="DH78" s="584"/>
      <c r="DI78" s="584"/>
      <c r="DJ78" s="584"/>
      <c r="DK78" s="584"/>
      <c r="DL78" s="904"/>
      <c r="DM78" s="923"/>
      <c r="DN78" s="932"/>
      <c r="DO78" s="576"/>
      <c r="DP78" s="933"/>
      <c r="DQ78" s="932"/>
      <c r="DR78" s="932"/>
      <c r="DS78" s="1254"/>
      <c r="DT78" s="575"/>
      <c r="DU78" s="577"/>
      <c r="DV78" s="1255"/>
      <c r="DW78" s="937"/>
      <c r="DX78" s="936"/>
      <c r="DY78" s="937"/>
      <c r="DZ78" s="1256"/>
      <c r="EA78" s="897"/>
      <c r="EB78" s="589"/>
      <c r="EC78" s="897"/>
      <c r="ED78" s="938"/>
      <c r="EE78" s="897"/>
      <c r="EF78" s="939"/>
      <c r="EG78" s="1256"/>
      <c r="EH78" s="897"/>
      <c r="EI78" s="589"/>
      <c r="EJ78" s="897"/>
      <c r="EK78" s="938"/>
      <c r="EL78" s="1257"/>
      <c r="EM78" s="578"/>
      <c r="EN78" s="582"/>
      <c r="EO78" s="899"/>
      <c r="EP78" s="940"/>
      <c r="EQ78" s="940"/>
      <c r="ER78" s="940"/>
      <c r="ES78" s="940"/>
      <c r="ET78" s="940"/>
      <c r="EU78" s="940"/>
      <c r="EV78" s="940"/>
      <c r="EW78" s="940"/>
      <c r="EX78" s="940"/>
      <c r="EY78" s="940"/>
      <c r="EZ78" s="940"/>
      <c r="FA78" s="940"/>
      <c r="FB78" s="940"/>
      <c r="FC78" s="940"/>
      <c r="FD78" s="940"/>
      <c r="FE78" s="940"/>
      <c r="FF78" s="940"/>
      <c r="FG78" s="940"/>
      <c r="FH78" s="940"/>
      <c r="FI78" s="940"/>
      <c r="FJ78" s="940"/>
      <c r="FK78" s="940"/>
      <c r="FL78" s="940"/>
      <c r="FM78" s="940"/>
      <c r="FN78" s="940"/>
      <c r="FO78" s="940"/>
      <c r="FP78" s="940"/>
      <c r="FQ78" s="940"/>
      <c r="FR78" s="940"/>
    </row>
    <row r="79" spans="1:174" s="75" customFormat="1" ht="11.25" customHeight="1" x14ac:dyDescent="0.2">
      <c r="A79" s="100">
        <v>107</v>
      </c>
      <c r="B79" s="434">
        <v>99</v>
      </c>
      <c r="C79" s="31"/>
      <c r="D79" s="31" t="s">
        <v>134</v>
      </c>
      <c r="E79" s="37" t="s">
        <v>20</v>
      </c>
      <c r="F79" s="31" t="s">
        <v>380</v>
      </c>
      <c r="G79" s="60" t="s">
        <v>273</v>
      </c>
      <c r="H79" s="508" t="s">
        <v>359</v>
      </c>
      <c r="I79" s="60" t="s">
        <v>348</v>
      </c>
      <c r="J79" s="508" t="s">
        <v>359</v>
      </c>
      <c r="K79" s="37" t="s">
        <v>310</v>
      </c>
      <c r="L79" s="157" t="s">
        <v>451</v>
      </c>
      <c r="M79" s="526" t="s">
        <v>455</v>
      </c>
      <c r="N79" s="163"/>
      <c r="O79" s="509" t="e">
        <v>#N/A</v>
      </c>
      <c r="P79" s="37"/>
      <c r="Q79" s="296" t="e">
        <v>#N/A</v>
      </c>
      <c r="R79" s="37" t="s">
        <v>64</v>
      </c>
      <c r="S79" s="37" t="s">
        <v>117</v>
      </c>
      <c r="T79" s="35" t="s">
        <v>94</v>
      </c>
      <c r="U79" s="36" t="s">
        <v>205</v>
      </c>
      <c r="V79" s="537" t="s">
        <v>425</v>
      </c>
      <c r="W79" s="295" t="s">
        <v>311</v>
      </c>
      <c r="X79" s="298" t="s">
        <v>148</v>
      </c>
      <c r="Y79" s="317" t="s">
        <v>311</v>
      </c>
      <c r="Z79" s="317" t="s">
        <v>148</v>
      </c>
      <c r="AA79" s="48" t="s">
        <v>410</v>
      </c>
      <c r="AB79" s="522">
        <v>5</v>
      </c>
      <c r="AC79" s="407" t="s">
        <v>359</v>
      </c>
      <c r="AD79" s="39">
        <v>9</v>
      </c>
      <c r="AE79" s="40">
        <v>3.66</v>
      </c>
      <c r="AF79" s="329"/>
      <c r="AG79" s="102"/>
      <c r="AH79" s="396"/>
      <c r="AI79" s="405" t="s">
        <v>359</v>
      </c>
      <c r="AJ79" s="102"/>
      <c r="AK79" s="405" t="s">
        <v>359</v>
      </c>
      <c r="AL79" s="397"/>
      <c r="AM79" s="126"/>
      <c r="AN79" s="49"/>
      <c r="AO79" s="249">
        <v>6</v>
      </c>
      <c r="AP79" s="185" t="s">
        <v>359</v>
      </c>
      <c r="AQ79" s="80">
        <v>9</v>
      </c>
      <c r="AR79" s="185">
        <v>3.99</v>
      </c>
      <c r="AS79" s="333"/>
      <c r="AT79" s="44" t="s">
        <v>341</v>
      </c>
      <c r="AU79" s="395"/>
      <c r="AV79" s="45" t="s">
        <v>348</v>
      </c>
      <c r="AW79" s="395" t="s">
        <v>359</v>
      </c>
      <c r="AX79" s="46">
        <v>2020</v>
      </c>
      <c r="AY79" s="84"/>
      <c r="AZ79" s="191"/>
      <c r="BA79" s="392"/>
      <c r="BB79" s="47">
        <v>3</v>
      </c>
      <c r="BC79" s="253">
        <v>0</v>
      </c>
      <c r="BD79" s="205">
        <v>2.34</v>
      </c>
      <c r="BE79" s="205">
        <v>0.33</v>
      </c>
      <c r="BF79" s="53" t="s">
        <v>411</v>
      </c>
      <c r="BG79" s="54">
        <v>14</v>
      </c>
      <c r="BH79" s="343" t="s">
        <v>332</v>
      </c>
      <c r="BI79" s="56" t="s">
        <v>341</v>
      </c>
      <c r="BJ79" s="1430" t="s">
        <v>359</v>
      </c>
      <c r="BK79" s="341">
        <v>9</v>
      </c>
      <c r="BL79" s="400" t="s">
        <v>359</v>
      </c>
      <c r="BM79" s="178">
        <v>2019</v>
      </c>
      <c r="BN79" s="126"/>
      <c r="BO79" s="58"/>
      <c r="BP79" s="55">
        <v>15</v>
      </c>
      <c r="BQ79" s="346" t="s">
        <v>332</v>
      </c>
      <c r="BR79" s="56" t="s">
        <v>341</v>
      </c>
      <c r="BS79" s="395" t="s">
        <v>359</v>
      </c>
      <c r="BT79" s="339">
        <v>9</v>
      </c>
      <c r="BU79" s="395" t="s">
        <v>359</v>
      </c>
      <c r="BV79" s="46">
        <v>2020</v>
      </c>
      <c r="BW79" s="57"/>
      <c r="BX79" s="125"/>
      <c r="BY79" s="254">
        <v>0</v>
      </c>
      <c r="BZ79" s="53" t="s">
        <v>205</v>
      </c>
      <c r="CA79" s="316" t="s">
        <v>586</v>
      </c>
      <c r="CB79" s="59" t="s">
        <v>360</v>
      </c>
      <c r="CC79" s="38" t="s">
        <v>263</v>
      </c>
      <c r="CD79" s="48">
        <v>69</v>
      </c>
      <c r="CE79" s="31" t="s">
        <v>105</v>
      </c>
      <c r="CF79" s="31"/>
      <c r="CG79" s="303"/>
      <c r="CH79" s="31"/>
      <c r="CI79" s="31"/>
      <c r="CJ79" s="31" t="s">
        <v>205</v>
      </c>
      <c r="CK79" s="51" t="s">
        <v>205</v>
      </c>
      <c r="CL79" s="61"/>
      <c r="CM79" s="62"/>
      <c r="CN79" s="61"/>
      <c r="CO79" s="76"/>
      <c r="CP79" s="51" t="s">
        <v>205</v>
      </c>
      <c r="CQ79" s="61"/>
      <c r="CR79" s="146"/>
      <c r="CS79" s="61"/>
      <c r="CT79" s="76"/>
      <c r="CU79" s="65" t="s">
        <v>105</v>
      </c>
      <c r="CV79" s="66" t="s">
        <v>45</v>
      </c>
      <c r="CW79" s="63">
        <v>10</v>
      </c>
      <c r="CX79" s="64">
        <v>2037</v>
      </c>
      <c r="CY79" s="63">
        <v>7</v>
      </c>
      <c r="CZ79" s="64">
        <v>2037</v>
      </c>
      <c r="DA79" s="63">
        <v>4</v>
      </c>
      <c r="DB79" s="64">
        <v>2037</v>
      </c>
      <c r="DC79" s="67" t="s">
        <v>205</v>
      </c>
      <c r="DD79" s="68" t="s">
        <v>195</v>
      </c>
      <c r="DE79" s="68"/>
      <c r="DF79" s="48">
        <v>660</v>
      </c>
      <c r="DG79" s="48">
        <v>435</v>
      </c>
      <c r="DH79" s="48">
        <v>32</v>
      </c>
      <c r="DI79" s="48" t="s">
        <v>403</v>
      </c>
      <c r="DJ79" s="48"/>
      <c r="DK79" s="48"/>
      <c r="DL79" s="53" t="s">
        <v>207</v>
      </c>
      <c r="DM79" s="61" t="s">
        <v>208</v>
      </c>
      <c r="DN79" s="32"/>
      <c r="DO79" s="82"/>
      <c r="DP79" s="52"/>
      <c r="DQ79" s="76"/>
      <c r="DR79" s="32"/>
      <c r="DS79" s="70"/>
      <c r="DT79" s="37"/>
      <c r="DU79" s="71"/>
      <c r="DV79" s="84"/>
      <c r="DW79" s="517"/>
      <c r="DX79" s="315" t="s">
        <v>108</v>
      </c>
      <c r="DY79" s="33"/>
      <c r="DZ79" s="44" t="s">
        <v>341</v>
      </c>
      <c r="EA79" s="45" t="s">
        <v>359</v>
      </c>
      <c r="EB79" s="45" t="s">
        <v>348</v>
      </c>
      <c r="EC79" s="45" t="s">
        <v>359</v>
      </c>
      <c r="ED79" s="72">
        <v>2011</v>
      </c>
      <c r="EE79" s="45">
        <v>0</v>
      </c>
      <c r="EF79" s="73" t="s">
        <v>205</v>
      </c>
      <c r="EG79" s="44" t="s">
        <v>341</v>
      </c>
      <c r="EH79" s="45" t="s">
        <v>359</v>
      </c>
      <c r="EI79" s="45" t="s">
        <v>348</v>
      </c>
      <c r="EJ79" s="45" t="s">
        <v>359</v>
      </c>
      <c r="EK79" s="72">
        <v>2011</v>
      </c>
      <c r="EL79" s="31"/>
      <c r="EM79" s="51" t="s">
        <v>205</v>
      </c>
      <c r="EN79" s="74" t="s">
        <v>105</v>
      </c>
      <c r="EO79" s="84"/>
      <c r="FM79" s="554"/>
      <c r="FN79" s="177"/>
      <c r="FO79" s="177"/>
      <c r="FP79" s="177"/>
      <c r="FQ79" s="177"/>
      <c r="FR79" s="177"/>
    </row>
    <row r="80" spans="1:174" s="75" customFormat="1" ht="11.25" customHeight="1" x14ac:dyDescent="0.2">
      <c r="A80" s="100">
        <v>109</v>
      </c>
      <c r="B80" s="434">
        <v>101</v>
      </c>
      <c r="C80" s="31"/>
      <c r="D80" s="31" t="s">
        <v>134</v>
      </c>
      <c r="E80" s="37" t="s">
        <v>19</v>
      </c>
      <c r="F80" s="31" t="s">
        <v>380</v>
      </c>
      <c r="G80" s="60" t="s">
        <v>326</v>
      </c>
      <c r="H80" s="508" t="s">
        <v>359</v>
      </c>
      <c r="I80" s="60" t="s">
        <v>344</v>
      </c>
      <c r="J80" s="508" t="s">
        <v>359</v>
      </c>
      <c r="K80" s="37" t="s">
        <v>0</v>
      </c>
      <c r="L80" s="157" t="s">
        <v>451</v>
      </c>
      <c r="M80" s="526" t="s">
        <v>455</v>
      </c>
      <c r="N80" s="163"/>
      <c r="O80" s="509" t="e">
        <v>#N/A</v>
      </c>
      <c r="P80" s="37"/>
      <c r="Q80" s="296" t="e">
        <v>#N/A</v>
      </c>
      <c r="R80" s="37" t="s">
        <v>64</v>
      </c>
      <c r="S80" s="37" t="s">
        <v>117</v>
      </c>
      <c r="T80" s="35" t="s">
        <v>94</v>
      </c>
      <c r="U80" s="36" t="s">
        <v>205</v>
      </c>
      <c r="V80" s="537" t="s">
        <v>424</v>
      </c>
      <c r="W80" s="295" t="s">
        <v>430</v>
      </c>
      <c r="X80" s="298" t="s">
        <v>426</v>
      </c>
      <c r="Y80" s="317" t="s">
        <v>430</v>
      </c>
      <c r="Z80" s="317" t="s">
        <v>426</v>
      </c>
      <c r="AA80" s="48" t="s">
        <v>410</v>
      </c>
      <c r="AB80" s="522">
        <v>6</v>
      </c>
      <c r="AC80" s="407" t="s">
        <v>359</v>
      </c>
      <c r="AD80" s="39">
        <v>9</v>
      </c>
      <c r="AE80" s="40">
        <v>3.99</v>
      </c>
      <c r="AF80" s="329"/>
      <c r="AG80" s="102"/>
      <c r="AH80" s="396"/>
      <c r="AI80" s="405" t="s">
        <v>359</v>
      </c>
      <c r="AJ80" s="102"/>
      <c r="AK80" s="405" t="s">
        <v>359</v>
      </c>
      <c r="AL80" s="397"/>
      <c r="AM80" s="126"/>
      <c r="AN80" s="49"/>
      <c r="AO80" s="249">
        <v>7</v>
      </c>
      <c r="AP80" s="185" t="s">
        <v>359</v>
      </c>
      <c r="AQ80" s="80">
        <v>9</v>
      </c>
      <c r="AR80" s="185">
        <v>4.32</v>
      </c>
      <c r="AS80" s="333"/>
      <c r="AT80" s="44" t="s">
        <v>341</v>
      </c>
      <c r="AU80" s="395" t="s">
        <v>359</v>
      </c>
      <c r="AV80" s="45" t="s">
        <v>349</v>
      </c>
      <c r="AW80" s="395" t="s">
        <v>359</v>
      </c>
      <c r="AX80" s="46">
        <v>2017</v>
      </c>
      <c r="AY80" s="84"/>
      <c r="AZ80" s="191"/>
      <c r="BA80" s="392"/>
      <c r="BB80" s="47">
        <v>3</v>
      </c>
      <c r="BC80" s="253">
        <v>33</v>
      </c>
      <c r="BD80" s="205">
        <v>2.34</v>
      </c>
      <c r="BE80" s="205">
        <v>0.33</v>
      </c>
      <c r="BF80" s="53" t="s">
        <v>411</v>
      </c>
      <c r="BG80" s="54">
        <v>18</v>
      </c>
      <c r="BH80" s="343" t="s">
        <v>332</v>
      </c>
      <c r="BI80" s="56" t="s">
        <v>341</v>
      </c>
      <c r="BJ80" s="1430" t="s">
        <v>359</v>
      </c>
      <c r="BK80" s="341">
        <v>9</v>
      </c>
      <c r="BL80" s="400" t="s">
        <v>359</v>
      </c>
      <c r="BM80" s="178">
        <v>2019</v>
      </c>
      <c r="BN80" s="126"/>
      <c r="BO80" s="58"/>
      <c r="BP80" s="55">
        <v>19</v>
      </c>
      <c r="BQ80" s="346" t="s">
        <v>332</v>
      </c>
      <c r="BR80" s="56" t="s">
        <v>341</v>
      </c>
      <c r="BS80" s="395" t="s">
        <v>359</v>
      </c>
      <c r="BT80" s="339">
        <v>9</v>
      </c>
      <c r="BU80" s="395" t="s">
        <v>359</v>
      </c>
      <c r="BV80" s="46">
        <v>2020</v>
      </c>
      <c r="BW80" s="57"/>
      <c r="BX80" s="125"/>
      <c r="BY80" s="254">
        <v>0</v>
      </c>
      <c r="BZ80" s="53" t="s">
        <v>205</v>
      </c>
      <c r="CA80" s="316" t="s">
        <v>586</v>
      </c>
      <c r="CB80" s="59" t="s">
        <v>360</v>
      </c>
      <c r="CC80" s="38" t="s">
        <v>263</v>
      </c>
      <c r="CD80" s="48">
        <v>36</v>
      </c>
      <c r="CE80" s="31" t="s">
        <v>105</v>
      </c>
      <c r="CF80" s="31"/>
      <c r="CG80" s="303"/>
      <c r="CH80" s="31"/>
      <c r="CI80" s="105"/>
      <c r="CJ80" s="31" t="s">
        <v>205</v>
      </c>
      <c r="CK80" s="51" t="s">
        <v>205</v>
      </c>
      <c r="CL80" s="61"/>
      <c r="CM80" s="62"/>
      <c r="CN80" s="61"/>
      <c r="CO80" s="76"/>
      <c r="CP80" s="51" t="s">
        <v>205</v>
      </c>
      <c r="CQ80" s="61"/>
      <c r="CR80" s="146"/>
      <c r="CS80" s="61"/>
      <c r="CT80" s="76"/>
      <c r="CU80" s="65" t="s">
        <v>105</v>
      </c>
      <c r="CV80" s="66" t="s">
        <v>45</v>
      </c>
      <c r="CW80" s="63">
        <v>7</v>
      </c>
      <c r="CX80" s="64">
        <v>2031</v>
      </c>
      <c r="CY80" s="63">
        <v>4</v>
      </c>
      <c r="CZ80" s="64">
        <v>2031</v>
      </c>
      <c r="DA80" s="63">
        <v>1</v>
      </c>
      <c r="DB80" s="64">
        <v>2031</v>
      </c>
      <c r="DC80" s="67" t="s">
        <v>205</v>
      </c>
      <c r="DD80" s="68" t="s">
        <v>195</v>
      </c>
      <c r="DE80" s="68"/>
      <c r="DF80" s="48">
        <v>660</v>
      </c>
      <c r="DG80" s="48">
        <v>510</v>
      </c>
      <c r="DH80" s="48">
        <v>38</v>
      </c>
      <c r="DI80" s="48" t="s">
        <v>403</v>
      </c>
      <c r="DJ80" s="48"/>
      <c r="DK80" s="48"/>
      <c r="DL80" s="53" t="s">
        <v>207</v>
      </c>
      <c r="DM80" s="61" t="s">
        <v>208</v>
      </c>
      <c r="DN80" s="32"/>
      <c r="DO80" s="31"/>
      <c r="DP80" s="69"/>
      <c r="DQ80" s="32"/>
      <c r="DR80" s="76"/>
      <c r="DS80" s="77"/>
      <c r="DT80" s="78"/>
      <c r="DU80" s="71"/>
      <c r="DV80" s="84"/>
      <c r="DW80" s="517"/>
      <c r="DX80" s="315" t="s">
        <v>108</v>
      </c>
      <c r="DY80" s="33"/>
      <c r="DZ80" s="44" t="s">
        <v>341</v>
      </c>
      <c r="EA80" s="45" t="s">
        <v>359</v>
      </c>
      <c r="EB80" s="45" t="s">
        <v>349</v>
      </c>
      <c r="EC80" s="45" t="s">
        <v>359</v>
      </c>
      <c r="ED80" s="72" t="s">
        <v>362</v>
      </c>
      <c r="EE80" s="45">
        <v>0</v>
      </c>
      <c r="EF80" s="73" t="s">
        <v>205</v>
      </c>
      <c r="EG80" s="44" t="s">
        <v>341</v>
      </c>
      <c r="EH80" s="45" t="s">
        <v>359</v>
      </c>
      <c r="EI80" s="45" t="s">
        <v>349</v>
      </c>
      <c r="EJ80" s="45" t="s">
        <v>359</v>
      </c>
      <c r="EK80" s="72" t="s">
        <v>362</v>
      </c>
      <c r="EL80" s="31"/>
      <c r="EM80" s="51" t="s">
        <v>205</v>
      </c>
      <c r="EN80" s="74" t="s">
        <v>105</v>
      </c>
      <c r="EO80" s="84"/>
      <c r="FN80" s="177"/>
      <c r="FO80" s="177"/>
      <c r="FP80" s="177"/>
      <c r="FQ80" s="177"/>
      <c r="FR80" s="177"/>
    </row>
    <row r="81" spans="1:174" s="247" customFormat="1" ht="11.25" customHeight="1" x14ac:dyDescent="0.2">
      <c r="A81" s="100">
        <v>122</v>
      </c>
      <c r="B81" s="434">
        <v>343</v>
      </c>
      <c r="C81" s="31"/>
      <c r="D81" s="31" t="s">
        <v>134</v>
      </c>
      <c r="E81" s="37" t="s">
        <v>38</v>
      </c>
      <c r="F81" s="31" t="s">
        <v>380</v>
      </c>
      <c r="G81" s="60" t="s">
        <v>273</v>
      </c>
      <c r="H81" s="508" t="s">
        <v>359</v>
      </c>
      <c r="I81" s="60" t="s">
        <v>345</v>
      </c>
      <c r="J81" s="508" t="s">
        <v>359</v>
      </c>
      <c r="K81" s="37" t="s">
        <v>338</v>
      </c>
      <c r="L81" s="157" t="s">
        <v>451</v>
      </c>
      <c r="M81" s="526" t="s">
        <v>455</v>
      </c>
      <c r="N81" s="163"/>
      <c r="O81" s="509" t="s">
        <v>93</v>
      </c>
      <c r="P81" s="37" t="s">
        <v>240</v>
      </c>
      <c r="Q81" s="296">
        <v>1</v>
      </c>
      <c r="R81" s="78"/>
      <c r="S81" s="190" t="s">
        <v>564</v>
      </c>
      <c r="T81" s="35" t="s">
        <v>256</v>
      </c>
      <c r="U81" s="36" t="s">
        <v>95</v>
      </c>
      <c r="V81" s="537" t="s">
        <v>424</v>
      </c>
      <c r="W81" s="295" t="s">
        <v>429</v>
      </c>
      <c r="X81" s="298" t="s">
        <v>427</v>
      </c>
      <c r="Y81" s="317" t="s">
        <v>429</v>
      </c>
      <c r="Z81" s="317" t="s">
        <v>427</v>
      </c>
      <c r="AA81" s="48" t="s">
        <v>410</v>
      </c>
      <c r="AB81" s="117">
        <v>1</v>
      </c>
      <c r="AC81" s="407" t="s">
        <v>359</v>
      </c>
      <c r="AD81" s="39">
        <v>6</v>
      </c>
      <c r="AE81" s="40">
        <v>6.2</v>
      </c>
      <c r="AF81" s="329"/>
      <c r="AG81" s="102"/>
      <c r="AH81" s="572" t="s">
        <v>341</v>
      </c>
      <c r="AI81" s="571" t="s">
        <v>359</v>
      </c>
      <c r="AJ81" s="568" t="s">
        <v>346</v>
      </c>
      <c r="AK81" s="571" t="s">
        <v>359</v>
      </c>
      <c r="AL81" s="406">
        <v>2016</v>
      </c>
      <c r="AM81" s="126"/>
      <c r="AN81" s="49"/>
      <c r="AO81" s="249">
        <v>2</v>
      </c>
      <c r="AP81" s="185" t="s">
        <v>359</v>
      </c>
      <c r="AQ81" s="80">
        <v>6</v>
      </c>
      <c r="AR81" s="43">
        <v>6.5600000000000005</v>
      </c>
      <c r="AS81" s="333"/>
      <c r="AT81" s="44" t="s">
        <v>341</v>
      </c>
      <c r="AU81" s="395" t="s">
        <v>359</v>
      </c>
      <c r="AV81" s="45" t="s">
        <v>346</v>
      </c>
      <c r="AW81" s="395" t="s">
        <v>359</v>
      </c>
      <c r="AX81" s="46">
        <v>2018</v>
      </c>
      <c r="AY81" s="84"/>
      <c r="AZ81" s="567" t="s">
        <v>609</v>
      </c>
      <c r="BA81" s="392"/>
      <c r="BB81" s="47">
        <v>3</v>
      </c>
      <c r="BC81" s="253">
        <v>30</v>
      </c>
      <c r="BD81" s="205">
        <v>6.2</v>
      </c>
      <c r="BE81" s="205">
        <v>0.36</v>
      </c>
      <c r="BF81" s="53" t="s">
        <v>411</v>
      </c>
      <c r="BG81" s="55">
        <v>18</v>
      </c>
      <c r="BH81" s="343" t="s">
        <v>332</v>
      </c>
      <c r="BI81" s="56" t="s">
        <v>341</v>
      </c>
      <c r="BJ81" s="1430" t="s">
        <v>359</v>
      </c>
      <c r="BK81" s="341" t="s">
        <v>348</v>
      </c>
      <c r="BL81" s="400" t="s">
        <v>359</v>
      </c>
      <c r="BM81" s="178">
        <v>2019</v>
      </c>
      <c r="BN81" s="126"/>
      <c r="BO81" s="58"/>
      <c r="BP81" s="55">
        <v>19</v>
      </c>
      <c r="BQ81" s="346" t="s">
        <v>332</v>
      </c>
      <c r="BR81" s="56" t="s">
        <v>341</v>
      </c>
      <c r="BS81" s="395" t="s">
        <v>359</v>
      </c>
      <c r="BT81" s="339" t="s">
        <v>348</v>
      </c>
      <c r="BU81" s="395" t="s">
        <v>359</v>
      </c>
      <c r="BV81" s="46">
        <v>2020</v>
      </c>
      <c r="BW81" s="57"/>
      <c r="BX81" s="125"/>
      <c r="BY81" s="254">
        <v>0</v>
      </c>
      <c r="BZ81" s="53" t="s">
        <v>205</v>
      </c>
      <c r="CA81" s="316" t="s">
        <v>588</v>
      </c>
      <c r="CB81" s="59" t="s">
        <v>360</v>
      </c>
      <c r="CC81" s="38" t="s">
        <v>263</v>
      </c>
      <c r="CD81" s="48">
        <v>39</v>
      </c>
      <c r="CE81" s="31" t="s">
        <v>298</v>
      </c>
      <c r="CF81" s="31">
        <v>2013</v>
      </c>
      <c r="CG81" s="303" t="s">
        <v>428</v>
      </c>
      <c r="CH81" s="31"/>
      <c r="CI81" s="105"/>
      <c r="CJ81" s="31" t="s">
        <v>205</v>
      </c>
      <c r="CK81" s="51" t="s">
        <v>227</v>
      </c>
      <c r="CL81" s="61">
        <v>3</v>
      </c>
      <c r="CM81" s="62">
        <v>2016</v>
      </c>
      <c r="CN81" s="61"/>
      <c r="CO81" s="76"/>
      <c r="CP81" s="51" t="s">
        <v>205</v>
      </c>
      <c r="CQ81" s="61"/>
      <c r="CR81" s="32"/>
      <c r="CS81" s="61"/>
      <c r="CT81" s="76"/>
      <c r="CU81" s="65" t="s">
        <v>105</v>
      </c>
      <c r="CV81" s="66" t="s">
        <v>45</v>
      </c>
      <c r="CW81" s="63">
        <v>9</v>
      </c>
      <c r="CX81" s="64">
        <v>2026</v>
      </c>
      <c r="CY81" s="63">
        <v>6</v>
      </c>
      <c r="CZ81" s="64">
        <v>2026</v>
      </c>
      <c r="DA81" s="63">
        <v>3</v>
      </c>
      <c r="DB81" s="64">
        <v>2026</v>
      </c>
      <c r="DC81" s="67" t="s">
        <v>205</v>
      </c>
      <c r="DD81" s="68" t="s">
        <v>195</v>
      </c>
      <c r="DE81" s="68"/>
      <c r="DF81" s="48">
        <v>660</v>
      </c>
      <c r="DG81" s="48">
        <v>568</v>
      </c>
      <c r="DH81" s="48">
        <v>43</v>
      </c>
      <c r="DI81" s="48" t="s">
        <v>406</v>
      </c>
      <c r="DJ81" s="48"/>
      <c r="DK81" s="48"/>
      <c r="DL81" s="53" t="s">
        <v>207</v>
      </c>
      <c r="DM81" s="61" t="s">
        <v>208</v>
      </c>
      <c r="DN81" s="32"/>
      <c r="DO81" s="31"/>
      <c r="DP81" s="69"/>
      <c r="DQ81" s="32"/>
      <c r="DR81" s="76"/>
      <c r="DS81" s="77"/>
      <c r="DT81" s="78"/>
      <c r="DU81" s="71"/>
      <c r="DV81" s="84"/>
      <c r="DW81" s="85"/>
      <c r="DX81" s="315" t="s">
        <v>118</v>
      </c>
      <c r="DY81" s="33"/>
      <c r="DZ81" s="44" t="s">
        <v>341</v>
      </c>
      <c r="EA81" s="45" t="s">
        <v>359</v>
      </c>
      <c r="EB81" s="45" t="s">
        <v>342</v>
      </c>
      <c r="EC81" s="45" t="s">
        <v>359</v>
      </c>
      <c r="ED81" s="72">
        <v>2013</v>
      </c>
      <c r="EE81" s="45">
        <v>0</v>
      </c>
      <c r="EF81" s="73" t="s">
        <v>205</v>
      </c>
      <c r="EG81" s="44" t="s">
        <v>341</v>
      </c>
      <c r="EH81" s="45" t="s">
        <v>359</v>
      </c>
      <c r="EI81" s="45" t="s">
        <v>342</v>
      </c>
      <c r="EJ81" s="45" t="s">
        <v>359</v>
      </c>
      <c r="EK81" s="72">
        <v>2013</v>
      </c>
      <c r="EL81" s="31">
        <v>3.66</v>
      </c>
      <c r="EM81" s="51" t="s">
        <v>205</v>
      </c>
      <c r="EN81" s="74" t="s">
        <v>105</v>
      </c>
      <c r="EO81" s="84"/>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row>
    <row r="82" spans="1:174" s="107" customFormat="1" ht="11.25" customHeight="1" x14ac:dyDescent="0.2">
      <c r="A82" s="100">
        <v>143</v>
      </c>
      <c r="B82" s="434">
        <v>164</v>
      </c>
      <c r="C82" s="31"/>
      <c r="D82" s="31" t="s">
        <v>134</v>
      </c>
      <c r="E82" s="37" t="s">
        <v>21</v>
      </c>
      <c r="F82" s="31" t="s">
        <v>380</v>
      </c>
      <c r="G82" s="60" t="s">
        <v>274</v>
      </c>
      <c r="H82" s="508" t="s">
        <v>359</v>
      </c>
      <c r="I82" s="60">
        <v>7</v>
      </c>
      <c r="J82" s="508" t="s">
        <v>359</v>
      </c>
      <c r="K82" s="37">
        <v>1978</v>
      </c>
      <c r="L82" s="157" t="s">
        <v>451</v>
      </c>
      <c r="M82" s="526" t="s">
        <v>455</v>
      </c>
      <c r="N82" s="163"/>
      <c r="O82" s="509" t="s">
        <v>93</v>
      </c>
      <c r="P82" s="37" t="s">
        <v>483</v>
      </c>
      <c r="Q82" s="296">
        <v>0.4</v>
      </c>
      <c r="R82" s="37" t="s">
        <v>260</v>
      </c>
      <c r="S82" s="190" t="s">
        <v>564</v>
      </c>
      <c r="T82" s="35" t="s">
        <v>94</v>
      </c>
      <c r="U82" s="36" t="s">
        <v>205</v>
      </c>
      <c r="V82" s="537" t="s">
        <v>424</v>
      </c>
      <c r="W82" s="295" t="s">
        <v>430</v>
      </c>
      <c r="X82" s="298" t="s">
        <v>426</v>
      </c>
      <c r="Y82" s="317" t="s">
        <v>430</v>
      </c>
      <c r="Z82" s="317" t="s">
        <v>426</v>
      </c>
      <c r="AA82" s="48" t="s">
        <v>410</v>
      </c>
      <c r="AB82" s="139">
        <v>6</v>
      </c>
      <c r="AC82" s="407" t="s">
        <v>359</v>
      </c>
      <c r="AD82" s="39">
        <v>9</v>
      </c>
      <c r="AE82" s="40">
        <v>3.99</v>
      </c>
      <c r="AF82" s="329"/>
      <c r="AG82" s="102"/>
      <c r="AH82" s="396"/>
      <c r="AI82" s="405" t="s">
        <v>359</v>
      </c>
      <c r="AJ82" s="102"/>
      <c r="AK82" s="405" t="s">
        <v>359</v>
      </c>
      <c r="AL82" s="406"/>
      <c r="AM82" s="126"/>
      <c r="AN82" s="49"/>
      <c r="AO82" s="249">
        <v>7</v>
      </c>
      <c r="AP82" s="185" t="s">
        <v>359</v>
      </c>
      <c r="AQ82" s="80">
        <v>9</v>
      </c>
      <c r="AR82" s="43">
        <v>4.32</v>
      </c>
      <c r="AS82" s="333"/>
      <c r="AT82" s="44" t="s">
        <v>341</v>
      </c>
      <c r="AU82" s="395" t="s">
        <v>359</v>
      </c>
      <c r="AV82" s="45" t="s">
        <v>376</v>
      </c>
      <c r="AW82" s="395" t="s">
        <v>359</v>
      </c>
      <c r="AX82" s="178">
        <v>2020</v>
      </c>
      <c r="AY82" s="104"/>
      <c r="AZ82" s="383" t="s">
        <v>635</v>
      </c>
      <c r="BA82" s="394"/>
      <c r="BB82" s="47">
        <v>3</v>
      </c>
      <c r="BC82" s="253">
        <v>5</v>
      </c>
      <c r="BD82" s="205">
        <v>2.34</v>
      </c>
      <c r="BE82" s="205">
        <v>0.33</v>
      </c>
      <c r="BF82" s="53" t="s">
        <v>411</v>
      </c>
      <c r="BG82" s="54">
        <v>9</v>
      </c>
      <c r="BH82" s="343" t="s">
        <v>332</v>
      </c>
      <c r="BI82" s="56" t="s">
        <v>341</v>
      </c>
      <c r="BJ82" s="1430" t="s">
        <v>359</v>
      </c>
      <c r="BK82" s="341" t="s">
        <v>346</v>
      </c>
      <c r="BL82" s="400" t="s">
        <v>359</v>
      </c>
      <c r="BM82" s="178">
        <v>2019</v>
      </c>
      <c r="BN82" s="126"/>
      <c r="BO82" s="58"/>
      <c r="BP82" s="55">
        <v>10</v>
      </c>
      <c r="BQ82" s="346" t="s">
        <v>332</v>
      </c>
      <c r="BR82" s="56" t="s">
        <v>341</v>
      </c>
      <c r="BS82" s="395" t="s">
        <v>359</v>
      </c>
      <c r="BT82" s="339" t="s">
        <v>348</v>
      </c>
      <c r="BU82" s="395" t="s">
        <v>359</v>
      </c>
      <c r="BV82" s="46">
        <v>2020</v>
      </c>
      <c r="BW82" s="57" t="s">
        <v>636</v>
      </c>
      <c r="BX82" s="125"/>
      <c r="BY82" s="254">
        <v>0</v>
      </c>
      <c r="BZ82" s="53" t="s">
        <v>205</v>
      </c>
      <c r="CA82" s="316" t="s">
        <v>588</v>
      </c>
      <c r="CB82" s="59" t="s">
        <v>360</v>
      </c>
      <c r="CC82" s="38" t="s">
        <v>263</v>
      </c>
      <c r="CD82" s="48">
        <v>64</v>
      </c>
      <c r="CE82" s="31" t="s">
        <v>105</v>
      </c>
      <c r="CF82" s="31"/>
      <c r="CG82" s="303"/>
      <c r="CH82" s="31"/>
      <c r="CI82" s="105"/>
      <c r="CJ82" s="31" t="s">
        <v>205</v>
      </c>
      <c r="CK82" s="51" t="s">
        <v>205</v>
      </c>
      <c r="CL82" s="61"/>
      <c r="CM82" s="62"/>
      <c r="CN82" s="61"/>
      <c r="CO82" s="76"/>
      <c r="CP82" s="51" t="s">
        <v>205</v>
      </c>
      <c r="CQ82" s="61"/>
      <c r="CR82" s="62"/>
      <c r="CS82" s="61"/>
      <c r="CT82" s="76"/>
      <c r="CU82" s="65" t="s">
        <v>105</v>
      </c>
      <c r="CV82" s="66" t="s">
        <v>45</v>
      </c>
      <c r="CW82" s="63">
        <v>8</v>
      </c>
      <c r="CX82" s="64">
        <v>2033</v>
      </c>
      <c r="CY82" s="63">
        <v>5</v>
      </c>
      <c r="CZ82" s="64">
        <v>2033</v>
      </c>
      <c r="DA82" s="63">
        <v>2</v>
      </c>
      <c r="DB82" s="64">
        <v>2033</v>
      </c>
      <c r="DC82" s="67" t="s">
        <v>205</v>
      </c>
      <c r="DD82" s="68" t="s">
        <v>195</v>
      </c>
      <c r="DE82" s="68"/>
      <c r="DF82" s="48">
        <v>660</v>
      </c>
      <c r="DG82" s="48">
        <v>485</v>
      </c>
      <c r="DH82" s="48">
        <v>36</v>
      </c>
      <c r="DI82" s="48" t="s">
        <v>403</v>
      </c>
      <c r="DJ82" s="48"/>
      <c r="DK82" s="48"/>
      <c r="DL82" s="53" t="s">
        <v>207</v>
      </c>
      <c r="DM82" s="61" t="s">
        <v>197</v>
      </c>
      <c r="DN82" s="32">
        <v>2008</v>
      </c>
      <c r="DO82" s="31"/>
      <c r="DP82" s="69"/>
      <c r="DQ82" s="32"/>
      <c r="DR82" s="76"/>
      <c r="DS82" s="77"/>
      <c r="DT82" s="78"/>
      <c r="DU82" s="71"/>
      <c r="DV82" s="84"/>
      <c r="DW82" s="33" t="s">
        <v>260</v>
      </c>
      <c r="DX82" s="315" t="s">
        <v>109</v>
      </c>
      <c r="DY82" s="33" t="s">
        <v>260</v>
      </c>
      <c r="DZ82" s="44" t="s">
        <v>341</v>
      </c>
      <c r="EA82" s="45" t="s">
        <v>359</v>
      </c>
      <c r="EB82" s="143" t="s">
        <v>346</v>
      </c>
      <c r="EC82" s="45" t="s">
        <v>359</v>
      </c>
      <c r="ED82" s="72" t="s">
        <v>362</v>
      </c>
      <c r="EE82" s="45">
        <v>0</v>
      </c>
      <c r="EF82" s="73" t="s">
        <v>205</v>
      </c>
      <c r="EG82" s="44" t="s">
        <v>341</v>
      </c>
      <c r="EH82" s="45" t="s">
        <v>359</v>
      </c>
      <c r="EI82" s="45" t="s">
        <v>346</v>
      </c>
      <c r="EJ82" s="45" t="s">
        <v>359</v>
      </c>
      <c r="EK82" s="72" t="s">
        <v>362</v>
      </c>
      <c r="EL82" s="31"/>
      <c r="EM82" s="51" t="s">
        <v>205</v>
      </c>
      <c r="EN82" s="74" t="s">
        <v>105</v>
      </c>
      <c r="EO82" s="84"/>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row>
    <row r="83" spans="1:174" s="30" customFormat="1" ht="14.25" customHeight="1" x14ac:dyDescent="0.2">
      <c r="A83" s="100">
        <v>189</v>
      </c>
      <c r="B83" s="434">
        <v>187</v>
      </c>
      <c r="C83" s="31"/>
      <c r="D83" s="31" t="s">
        <v>133</v>
      </c>
      <c r="E83" s="37" t="s">
        <v>398</v>
      </c>
      <c r="F83" s="31" t="s">
        <v>378</v>
      </c>
      <c r="G83" s="60" t="s">
        <v>275</v>
      </c>
      <c r="H83" s="508" t="s">
        <v>359</v>
      </c>
      <c r="I83" s="60" t="s">
        <v>342</v>
      </c>
      <c r="J83" s="508" t="s">
        <v>359</v>
      </c>
      <c r="K83" s="37" t="s">
        <v>330</v>
      </c>
      <c r="L83" s="157" t="s">
        <v>451</v>
      </c>
      <c r="M83" s="526" t="s">
        <v>455</v>
      </c>
      <c r="N83" s="163"/>
      <c r="O83" s="509" t="s">
        <v>93</v>
      </c>
      <c r="P83" s="37" t="s">
        <v>452</v>
      </c>
      <c r="Q83" s="296">
        <v>0.8</v>
      </c>
      <c r="R83" s="123"/>
      <c r="S83" s="462" t="s">
        <v>562</v>
      </c>
      <c r="T83" s="446" t="s">
        <v>256</v>
      </c>
      <c r="U83" s="447" t="s">
        <v>95</v>
      </c>
      <c r="V83" s="307" t="s">
        <v>424</v>
      </c>
      <c r="W83" s="463" t="s">
        <v>429</v>
      </c>
      <c r="X83" s="303" t="s">
        <v>427</v>
      </c>
      <c r="Y83" s="464" t="s">
        <v>429</v>
      </c>
      <c r="Z83" s="464" t="s">
        <v>427</v>
      </c>
      <c r="AA83" s="149" t="s">
        <v>410</v>
      </c>
      <c r="AB83" s="142">
        <v>5</v>
      </c>
      <c r="AC83" s="173" t="s">
        <v>359</v>
      </c>
      <c r="AD83" s="173">
        <v>6</v>
      </c>
      <c r="AE83" s="465">
        <v>7.6400000000000006</v>
      </c>
      <c r="AF83" s="465"/>
      <c r="AG83" s="465"/>
      <c r="AH83" s="465"/>
      <c r="AI83" s="445" t="s">
        <v>359</v>
      </c>
      <c r="AJ83" s="465"/>
      <c r="AK83" s="445" t="s">
        <v>359</v>
      </c>
      <c r="AL83" s="467"/>
      <c r="AM83" s="174"/>
      <c r="AN83" s="172"/>
      <c r="AO83" s="454">
        <v>6</v>
      </c>
      <c r="AP83" s="448" t="s">
        <v>359</v>
      </c>
      <c r="AQ83" s="470">
        <v>6</v>
      </c>
      <c r="AR83" s="448">
        <v>8</v>
      </c>
      <c r="AS83" s="448"/>
      <c r="AT83" s="148" t="s">
        <v>341</v>
      </c>
      <c r="AU83" s="404" t="s">
        <v>359</v>
      </c>
      <c r="AV83" s="143" t="s">
        <v>346</v>
      </c>
      <c r="AW83" s="404" t="s">
        <v>359</v>
      </c>
      <c r="AX83" s="123">
        <v>2018</v>
      </c>
      <c r="AY83" s="123"/>
      <c r="AZ83" s="388"/>
      <c r="BA83" s="478"/>
      <c r="BB83" s="479">
        <v>3</v>
      </c>
      <c r="BC83" s="480">
        <v>30</v>
      </c>
      <c r="BD83" s="481">
        <v>6.2</v>
      </c>
      <c r="BE83" s="481">
        <v>0.36</v>
      </c>
      <c r="BF83" s="482" t="s">
        <v>411</v>
      </c>
      <c r="BG83" s="449">
        <v>40</v>
      </c>
      <c r="BH83" s="450" t="s">
        <v>332</v>
      </c>
      <c r="BI83" s="455" t="s">
        <v>341</v>
      </c>
      <c r="BJ83" s="1416" t="s">
        <v>359</v>
      </c>
      <c r="BK83" s="752">
        <v>9</v>
      </c>
      <c r="BL83" s="474" t="s">
        <v>359</v>
      </c>
      <c r="BM83" s="569">
        <v>2019</v>
      </c>
      <c r="BN83" s="174"/>
      <c r="BO83" s="451"/>
      <c r="BP83" s="449">
        <v>41</v>
      </c>
      <c r="BQ83" s="172" t="s">
        <v>332</v>
      </c>
      <c r="BR83" s="455" t="s">
        <v>341</v>
      </c>
      <c r="BS83" s="404" t="s">
        <v>359</v>
      </c>
      <c r="BT83" s="141">
        <v>9</v>
      </c>
      <c r="BU83" s="404" t="s">
        <v>359</v>
      </c>
      <c r="BV83" s="46">
        <v>2020</v>
      </c>
      <c r="BW83" s="144"/>
      <c r="BX83" s="485"/>
      <c r="BY83" s="486">
        <v>0</v>
      </c>
      <c r="BZ83" s="482" t="s">
        <v>205</v>
      </c>
      <c r="CA83" s="489" t="s">
        <v>599</v>
      </c>
      <c r="CB83" s="436" t="s">
        <v>360</v>
      </c>
      <c r="CC83" s="149" t="s">
        <v>263</v>
      </c>
      <c r="CD83" s="149">
        <v>39</v>
      </c>
      <c r="CE83" s="146" t="s">
        <v>298</v>
      </c>
      <c r="CF83" s="146">
        <v>2008</v>
      </c>
      <c r="CG83" s="303" t="s">
        <v>428</v>
      </c>
      <c r="CH83" s="146"/>
      <c r="CI83" s="753"/>
      <c r="CJ83" s="146" t="s">
        <v>205</v>
      </c>
      <c r="CK83" s="147" t="s">
        <v>227</v>
      </c>
      <c r="CL83" s="147">
        <v>3</v>
      </c>
      <c r="CM83" s="146">
        <v>2016</v>
      </c>
      <c r="CN83" s="147"/>
      <c r="CO83" s="147"/>
      <c r="CP83" s="147" t="s">
        <v>205</v>
      </c>
      <c r="CQ83" s="147"/>
      <c r="CR83" s="146"/>
      <c r="CS83" s="147"/>
      <c r="CT83" s="147"/>
      <c r="CU83" s="452" t="s">
        <v>105</v>
      </c>
      <c r="CV83" s="495" t="s">
        <v>45</v>
      </c>
      <c r="CW83" s="175">
        <v>3</v>
      </c>
      <c r="CX83" s="175">
        <v>2021</v>
      </c>
      <c r="CY83" s="175">
        <v>12</v>
      </c>
      <c r="CZ83" s="175">
        <v>2020</v>
      </c>
      <c r="DA83" s="175">
        <v>9</v>
      </c>
      <c r="DB83" s="175">
        <v>2020</v>
      </c>
      <c r="DC83" s="453" t="s">
        <v>205</v>
      </c>
      <c r="DD83" s="496" t="s">
        <v>587</v>
      </c>
      <c r="DE83" s="497">
        <v>7</v>
      </c>
      <c r="DF83" s="149">
        <v>804</v>
      </c>
      <c r="DG83" s="149">
        <v>778</v>
      </c>
      <c r="DH83" s="149">
        <v>60</v>
      </c>
      <c r="DI83" s="149" t="s">
        <v>401</v>
      </c>
      <c r="DJ83" s="149"/>
      <c r="DK83" s="149"/>
      <c r="DL83" s="482" t="s">
        <v>209</v>
      </c>
      <c r="DM83" s="147" t="s">
        <v>208</v>
      </c>
      <c r="DN83" s="146"/>
      <c r="DO83" s="146"/>
      <c r="DP83" s="146"/>
      <c r="DQ83" s="146"/>
      <c r="DR83" s="147" t="s">
        <v>325</v>
      </c>
      <c r="DS83" s="147">
        <v>6</v>
      </c>
      <c r="DT83" s="173" t="s">
        <v>363</v>
      </c>
      <c r="DU83" s="502"/>
      <c r="DV83" s="123"/>
      <c r="DW83" s="123"/>
      <c r="DX83" s="462" t="s">
        <v>127</v>
      </c>
      <c r="DY83" s="123"/>
      <c r="DZ83" s="148" t="s">
        <v>341</v>
      </c>
      <c r="EA83" s="143" t="s">
        <v>359</v>
      </c>
      <c r="EB83" s="143" t="s">
        <v>346</v>
      </c>
      <c r="EC83" s="143" t="s">
        <v>359</v>
      </c>
      <c r="ED83" s="176">
        <v>2013</v>
      </c>
      <c r="EE83" s="143">
        <v>0</v>
      </c>
      <c r="EF83" s="146" t="s">
        <v>205</v>
      </c>
      <c r="EG83" s="148" t="s">
        <v>341</v>
      </c>
      <c r="EH83" s="143" t="s">
        <v>359</v>
      </c>
      <c r="EI83" s="143" t="s">
        <v>346</v>
      </c>
      <c r="EJ83" s="143" t="s">
        <v>359</v>
      </c>
      <c r="EK83" s="176">
        <v>2013</v>
      </c>
      <c r="EL83" s="146"/>
      <c r="EM83" s="147" t="s">
        <v>205</v>
      </c>
      <c r="EN83" s="453" t="s">
        <v>105</v>
      </c>
      <c r="EO83" s="123"/>
      <c r="EP83" s="175"/>
      <c r="EQ83" s="175"/>
      <c r="ER83" s="175"/>
      <c r="ES83" s="175"/>
      <c r="ET83" s="175"/>
      <c r="EU83" s="175"/>
      <c r="EV83" s="175"/>
      <c r="EW83" s="175"/>
      <c r="EX83" s="175"/>
      <c r="EY83" s="175"/>
      <c r="EZ83" s="175"/>
      <c r="FA83" s="175"/>
      <c r="FB83" s="175"/>
      <c r="FC83" s="175"/>
      <c r="FD83" s="175"/>
      <c r="FE83" s="175"/>
      <c r="FF83" s="175"/>
      <c r="FG83" s="175"/>
      <c r="FH83" s="175"/>
      <c r="FI83" s="175"/>
      <c r="FJ83" s="175"/>
      <c r="FK83" s="175"/>
      <c r="FL83" s="175"/>
      <c r="FM83" s="175"/>
      <c r="FN83" s="175"/>
      <c r="FO83" s="175"/>
      <c r="FP83" s="175"/>
      <c r="FQ83" s="175"/>
      <c r="FR83" s="175"/>
    </row>
    <row r="84" spans="1:174" s="121" customFormat="1" ht="11.25" customHeight="1" x14ac:dyDescent="0.2">
      <c r="A84" s="100">
        <v>210</v>
      </c>
      <c r="B84" s="296">
        <v>230</v>
      </c>
      <c r="C84" s="31" t="s">
        <v>387</v>
      </c>
      <c r="D84" s="31" t="s">
        <v>133</v>
      </c>
      <c r="E84" s="37" t="s">
        <v>471</v>
      </c>
      <c r="F84" s="31" t="s">
        <v>378</v>
      </c>
      <c r="G84" s="60" t="s">
        <v>399</v>
      </c>
      <c r="H84" s="508" t="s">
        <v>359</v>
      </c>
      <c r="I84" s="60" t="s">
        <v>344</v>
      </c>
      <c r="J84" s="508" t="s">
        <v>359</v>
      </c>
      <c r="K84" s="37">
        <v>1969</v>
      </c>
      <c r="L84" s="157" t="s">
        <v>451</v>
      </c>
      <c r="M84" s="526" t="s">
        <v>455</v>
      </c>
      <c r="N84" s="163"/>
      <c r="O84" s="509" t="s">
        <v>93</v>
      </c>
      <c r="P84" s="37" t="s">
        <v>250</v>
      </c>
      <c r="Q84" s="296">
        <v>0.4</v>
      </c>
      <c r="R84" s="37" t="s">
        <v>131</v>
      </c>
      <c r="S84" s="190" t="s">
        <v>562</v>
      </c>
      <c r="T84" s="35" t="s">
        <v>296</v>
      </c>
      <c r="U84" s="36" t="s">
        <v>297</v>
      </c>
      <c r="V84" s="537" t="s">
        <v>424</v>
      </c>
      <c r="W84" s="295" t="s">
        <v>431</v>
      </c>
      <c r="X84" s="298" t="s">
        <v>428</v>
      </c>
      <c r="Y84" s="317" t="s">
        <v>431</v>
      </c>
      <c r="Z84" s="317" t="s">
        <v>428</v>
      </c>
      <c r="AA84" s="48" t="s">
        <v>410</v>
      </c>
      <c r="AB84" s="139">
        <v>3</v>
      </c>
      <c r="AC84" s="407" t="s">
        <v>359</v>
      </c>
      <c r="AD84" s="39">
        <v>8</v>
      </c>
      <c r="AE84" s="40">
        <v>5.08</v>
      </c>
      <c r="AF84" s="329"/>
      <c r="AG84" s="102"/>
      <c r="AH84" s="396"/>
      <c r="AI84" s="445" t="s">
        <v>359</v>
      </c>
      <c r="AJ84" s="102"/>
      <c r="AK84" s="405" t="s">
        <v>359</v>
      </c>
      <c r="AL84" s="406"/>
      <c r="AM84" s="126"/>
      <c r="AN84" s="49"/>
      <c r="AO84" s="249">
        <v>4</v>
      </c>
      <c r="AP84" s="185" t="s">
        <v>359</v>
      </c>
      <c r="AQ84" s="80">
        <v>8</v>
      </c>
      <c r="AR84" s="43">
        <v>5.42</v>
      </c>
      <c r="AS84" s="333"/>
      <c r="AT84" s="44" t="s">
        <v>341</v>
      </c>
      <c r="AU84" s="404" t="s">
        <v>359</v>
      </c>
      <c r="AV84" s="45" t="s">
        <v>341</v>
      </c>
      <c r="AW84" s="395" t="s">
        <v>359</v>
      </c>
      <c r="AX84" s="123">
        <v>2018</v>
      </c>
      <c r="AY84" s="84"/>
      <c r="AZ84" s="191"/>
      <c r="BA84" s="392">
        <v>1.18</v>
      </c>
      <c r="BB84" s="47">
        <v>3</v>
      </c>
      <c r="BC84" s="253">
        <v>32</v>
      </c>
      <c r="BD84" s="205">
        <v>4.4000000000000004</v>
      </c>
      <c r="BE84" s="205">
        <v>0.34</v>
      </c>
      <c r="BF84" s="53" t="s">
        <v>411</v>
      </c>
      <c r="BG84" s="54">
        <v>27</v>
      </c>
      <c r="BH84" s="343" t="s">
        <v>332</v>
      </c>
      <c r="BI84" s="56" t="s">
        <v>341</v>
      </c>
      <c r="BJ84" s="1430" t="s">
        <v>359</v>
      </c>
      <c r="BK84" s="341" t="s">
        <v>348</v>
      </c>
      <c r="BL84" s="400" t="s">
        <v>359</v>
      </c>
      <c r="BM84" s="178">
        <v>2019</v>
      </c>
      <c r="BN84" s="126"/>
      <c r="BO84" s="58"/>
      <c r="BP84" s="55">
        <v>28</v>
      </c>
      <c r="BQ84" s="346" t="s">
        <v>332</v>
      </c>
      <c r="BR84" s="56" t="s">
        <v>341</v>
      </c>
      <c r="BS84" s="395" t="s">
        <v>359</v>
      </c>
      <c r="BT84" s="339" t="s">
        <v>348</v>
      </c>
      <c r="BU84" s="395" t="s">
        <v>359</v>
      </c>
      <c r="BV84" s="46">
        <v>2020</v>
      </c>
      <c r="BW84" s="57"/>
      <c r="BX84" s="125"/>
      <c r="BY84" s="254">
        <v>0</v>
      </c>
      <c r="BZ84" s="53" t="s">
        <v>205</v>
      </c>
      <c r="CA84" s="316" t="s">
        <v>599</v>
      </c>
      <c r="CB84" s="59" t="s">
        <v>360</v>
      </c>
      <c r="CC84" s="38" t="s">
        <v>263</v>
      </c>
      <c r="CD84" s="48">
        <v>37</v>
      </c>
      <c r="CE84" s="31" t="s">
        <v>105</v>
      </c>
      <c r="CF84" s="31"/>
      <c r="CG84" s="303"/>
      <c r="CH84" s="31"/>
      <c r="CI84" s="105"/>
      <c r="CJ84" s="31" t="s">
        <v>205</v>
      </c>
      <c r="CK84" s="51" t="s">
        <v>205</v>
      </c>
      <c r="CL84" s="61"/>
      <c r="CM84" s="62"/>
      <c r="CN84" s="61"/>
      <c r="CO84" s="76"/>
      <c r="CP84" s="51" t="s">
        <v>205</v>
      </c>
      <c r="CQ84" s="61"/>
      <c r="CR84" s="62"/>
      <c r="CS84" s="61"/>
      <c r="CT84" s="76"/>
      <c r="CU84" s="65" t="s">
        <v>105</v>
      </c>
      <c r="CV84" s="66" t="s">
        <v>45</v>
      </c>
      <c r="CW84" s="63">
        <v>7</v>
      </c>
      <c r="CX84" s="64">
        <v>2029</v>
      </c>
      <c r="CY84" s="63">
        <v>4</v>
      </c>
      <c r="CZ84" s="64">
        <v>2029</v>
      </c>
      <c r="DA84" s="63">
        <v>1</v>
      </c>
      <c r="DB84" s="64">
        <v>2029</v>
      </c>
      <c r="DC84" s="67" t="s">
        <v>205</v>
      </c>
      <c r="DD84" s="68" t="s">
        <v>195</v>
      </c>
      <c r="DE84" s="68"/>
      <c r="DF84" s="48">
        <v>720</v>
      </c>
      <c r="DG84" s="48">
        <v>594</v>
      </c>
      <c r="DH84" s="48">
        <v>45</v>
      </c>
      <c r="DI84" s="48" t="s">
        <v>402</v>
      </c>
      <c r="DJ84" s="48"/>
      <c r="DK84" s="48"/>
      <c r="DL84" s="53" t="s">
        <v>207</v>
      </c>
      <c r="DM84" s="61" t="s">
        <v>197</v>
      </c>
      <c r="DN84" s="32">
        <v>2009</v>
      </c>
      <c r="DO84" s="31"/>
      <c r="DP84" s="69"/>
      <c r="DQ84" s="32"/>
      <c r="DR84" s="76"/>
      <c r="DS84" s="77"/>
      <c r="DT84" s="78"/>
      <c r="DU84" s="71"/>
      <c r="DV84" s="84"/>
      <c r="DW84" s="33" t="s">
        <v>131</v>
      </c>
      <c r="DX84" s="315" t="s">
        <v>110</v>
      </c>
      <c r="DY84" s="33"/>
      <c r="DZ84" s="44" t="s">
        <v>341</v>
      </c>
      <c r="EA84" s="45" t="s">
        <v>359</v>
      </c>
      <c r="EB84" s="143" t="s">
        <v>347</v>
      </c>
      <c r="EC84" s="45" t="s">
        <v>359</v>
      </c>
      <c r="ED84" s="72">
        <v>2009</v>
      </c>
      <c r="EE84" s="45">
        <v>0</v>
      </c>
      <c r="EF84" s="73" t="s">
        <v>205</v>
      </c>
      <c r="EG84" s="44" t="s">
        <v>341</v>
      </c>
      <c r="EH84" s="45" t="s">
        <v>359</v>
      </c>
      <c r="EI84" s="143" t="s">
        <v>347</v>
      </c>
      <c r="EJ84" s="45" t="s">
        <v>359</v>
      </c>
      <c r="EK84" s="72">
        <v>2009</v>
      </c>
      <c r="EL84" s="31"/>
      <c r="EM84" s="51" t="s">
        <v>205</v>
      </c>
      <c r="EN84" s="74" t="s">
        <v>105</v>
      </c>
      <c r="EO84" s="84"/>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row>
    <row r="85" spans="1:174" s="75" customFormat="1" ht="11.25" customHeight="1" x14ac:dyDescent="0.2">
      <c r="A85" s="100">
        <v>215</v>
      </c>
      <c r="B85" s="296">
        <v>189</v>
      </c>
      <c r="C85" s="31"/>
      <c r="D85" s="31" t="s">
        <v>134</v>
      </c>
      <c r="E85" s="37" t="s">
        <v>25</v>
      </c>
      <c r="F85" s="31" t="s">
        <v>380</v>
      </c>
      <c r="G85" s="60" t="s">
        <v>329</v>
      </c>
      <c r="H85" s="508" t="s">
        <v>359</v>
      </c>
      <c r="I85" s="60">
        <v>3</v>
      </c>
      <c r="J85" s="508" t="s">
        <v>359</v>
      </c>
      <c r="K85" s="37">
        <v>1981</v>
      </c>
      <c r="L85" s="157" t="s">
        <v>451</v>
      </c>
      <c r="M85" s="526" t="s">
        <v>455</v>
      </c>
      <c r="N85" s="163"/>
      <c r="O85" s="509" t="e">
        <v>#N/A</v>
      </c>
      <c r="P85" s="37"/>
      <c r="Q85" s="296" t="e">
        <v>#N/A</v>
      </c>
      <c r="R85" s="37" t="s">
        <v>468</v>
      </c>
      <c r="S85" s="190" t="s">
        <v>562</v>
      </c>
      <c r="T85" s="35" t="s">
        <v>94</v>
      </c>
      <c r="U85" s="36" t="s">
        <v>205</v>
      </c>
      <c r="V85" s="537" t="s">
        <v>424</v>
      </c>
      <c r="W85" s="295" t="s">
        <v>430</v>
      </c>
      <c r="X85" s="298" t="s">
        <v>426</v>
      </c>
      <c r="Y85" s="317" t="s">
        <v>430</v>
      </c>
      <c r="Z85" s="317" t="s">
        <v>426</v>
      </c>
      <c r="AA85" s="48" t="s">
        <v>410</v>
      </c>
      <c r="AB85" s="139">
        <v>5</v>
      </c>
      <c r="AC85" s="407" t="s">
        <v>359</v>
      </c>
      <c r="AD85" s="39">
        <v>9</v>
      </c>
      <c r="AE85" s="40">
        <v>3.66</v>
      </c>
      <c r="AF85" s="329"/>
      <c r="AG85" s="102"/>
      <c r="AH85" s="396" t="s">
        <v>341</v>
      </c>
      <c r="AI85" s="405" t="s">
        <v>359</v>
      </c>
      <c r="AJ85" s="102" t="s">
        <v>343</v>
      </c>
      <c r="AK85" s="405" t="s">
        <v>359</v>
      </c>
      <c r="AL85" s="406">
        <v>2015</v>
      </c>
      <c r="AM85" s="126"/>
      <c r="AN85" s="49"/>
      <c r="AO85" s="249">
        <v>6</v>
      </c>
      <c r="AP85" s="185" t="s">
        <v>359</v>
      </c>
      <c r="AQ85" s="80">
        <v>9</v>
      </c>
      <c r="AR85" s="43">
        <v>3.99</v>
      </c>
      <c r="AS85" s="333"/>
      <c r="AT85" s="44" t="s">
        <v>341</v>
      </c>
      <c r="AU85" s="395" t="s">
        <v>359</v>
      </c>
      <c r="AV85" s="45" t="s">
        <v>343</v>
      </c>
      <c r="AW85" s="395" t="s">
        <v>359</v>
      </c>
      <c r="AX85" s="123">
        <v>2018</v>
      </c>
      <c r="AY85" s="84"/>
      <c r="AZ85" s="383" t="s">
        <v>232</v>
      </c>
      <c r="BA85" s="392">
        <v>5.18</v>
      </c>
      <c r="BB85" s="47">
        <v>3</v>
      </c>
      <c r="BC85" s="253">
        <v>28</v>
      </c>
      <c r="BD85" s="205">
        <v>2.34</v>
      </c>
      <c r="BE85" s="205">
        <v>0.33</v>
      </c>
      <c r="BF85" s="53" t="s">
        <v>411</v>
      </c>
      <c r="BG85" s="54">
        <v>10</v>
      </c>
      <c r="BH85" s="343" t="s">
        <v>332</v>
      </c>
      <c r="BI85" s="56" t="s">
        <v>341</v>
      </c>
      <c r="BJ85" s="1430" t="s">
        <v>359</v>
      </c>
      <c r="BK85" s="341" t="s">
        <v>348</v>
      </c>
      <c r="BL85" s="400" t="s">
        <v>359</v>
      </c>
      <c r="BM85" s="178">
        <v>2019</v>
      </c>
      <c r="BN85" s="126"/>
      <c r="BO85" s="58"/>
      <c r="BP85" s="55">
        <v>11</v>
      </c>
      <c r="BQ85" s="346" t="s">
        <v>332</v>
      </c>
      <c r="BR85" s="56" t="s">
        <v>341</v>
      </c>
      <c r="BS85" s="395"/>
      <c r="BT85" s="339" t="s">
        <v>348</v>
      </c>
      <c r="BU85" s="395"/>
      <c r="BV85" s="46">
        <v>2020</v>
      </c>
      <c r="BW85" s="57"/>
      <c r="BX85" s="125"/>
      <c r="BY85" s="254">
        <v>0</v>
      </c>
      <c r="BZ85" s="53" t="s">
        <v>205</v>
      </c>
      <c r="CA85" s="316" t="s">
        <v>599</v>
      </c>
      <c r="CB85" s="59" t="s">
        <v>360</v>
      </c>
      <c r="CC85" s="38" t="s">
        <v>263</v>
      </c>
      <c r="CD85" s="48">
        <v>41</v>
      </c>
      <c r="CE85" s="31" t="s">
        <v>298</v>
      </c>
      <c r="CF85" s="31">
        <v>2012</v>
      </c>
      <c r="CG85" s="303" t="s">
        <v>157</v>
      </c>
      <c r="CH85" s="31"/>
      <c r="CI85" s="105"/>
      <c r="CJ85" s="31" t="s">
        <v>205</v>
      </c>
      <c r="CK85" s="51" t="s">
        <v>205</v>
      </c>
      <c r="CL85" s="61"/>
      <c r="CM85" s="62"/>
      <c r="CN85" s="61"/>
      <c r="CO85" s="76"/>
      <c r="CP85" s="51" t="s">
        <v>261</v>
      </c>
      <c r="CQ85" s="61">
        <v>6</v>
      </c>
      <c r="CR85" s="62">
        <v>2013</v>
      </c>
      <c r="CS85" s="61"/>
      <c r="CT85" s="76"/>
      <c r="CU85" s="65" t="s">
        <v>105</v>
      </c>
      <c r="CV85" s="66" t="s">
        <v>45</v>
      </c>
      <c r="CW85" s="63">
        <v>4</v>
      </c>
      <c r="CX85" s="64">
        <v>2036</v>
      </c>
      <c r="CY85" s="63">
        <v>1</v>
      </c>
      <c r="CZ85" s="64">
        <v>2036</v>
      </c>
      <c r="DA85" s="63">
        <v>10</v>
      </c>
      <c r="DB85" s="64">
        <v>2035</v>
      </c>
      <c r="DC85" s="67" t="s">
        <v>205</v>
      </c>
      <c r="DD85" s="68" t="s">
        <v>195</v>
      </c>
      <c r="DE85" s="68"/>
      <c r="DF85" s="48">
        <v>660</v>
      </c>
      <c r="DG85" s="48">
        <v>453</v>
      </c>
      <c r="DH85" s="48">
        <v>33</v>
      </c>
      <c r="DI85" s="48" t="s">
        <v>403</v>
      </c>
      <c r="DJ85" s="48"/>
      <c r="DK85" s="48"/>
      <c r="DL85" s="53" t="s">
        <v>207</v>
      </c>
      <c r="DM85" s="61" t="s">
        <v>208</v>
      </c>
      <c r="DN85" s="32"/>
      <c r="DO85" s="31" t="s">
        <v>261</v>
      </c>
      <c r="DP85" s="69">
        <v>6</v>
      </c>
      <c r="DQ85" s="32">
        <v>2013</v>
      </c>
      <c r="DR85" s="76"/>
      <c r="DS85" s="77"/>
      <c r="DT85" s="78"/>
      <c r="DU85" s="71"/>
      <c r="DV85" s="84"/>
      <c r="DW85" s="33" t="s">
        <v>468</v>
      </c>
      <c r="DX85" s="315" t="s">
        <v>127</v>
      </c>
      <c r="DY85" s="33" t="s">
        <v>22</v>
      </c>
      <c r="DZ85" s="44" t="s">
        <v>341</v>
      </c>
      <c r="EA85" s="45" t="s">
        <v>359</v>
      </c>
      <c r="EB85" s="45" t="s">
        <v>343</v>
      </c>
      <c r="EC85" s="45" t="s">
        <v>359</v>
      </c>
      <c r="ED85" s="72">
        <v>2012</v>
      </c>
      <c r="EE85" s="45">
        <v>0</v>
      </c>
      <c r="EF85" s="73" t="s">
        <v>205</v>
      </c>
      <c r="EG85" s="44" t="s">
        <v>341</v>
      </c>
      <c r="EH85" s="45" t="s">
        <v>359</v>
      </c>
      <c r="EI85" s="45" t="s">
        <v>343</v>
      </c>
      <c r="EJ85" s="45" t="s">
        <v>359</v>
      </c>
      <c r="EK85" s="72">
        <v>2012</v>
      </c>
      <c r="EL85" s="31"/>
      <c r="EM85" s="51" t="s">
        <v>205</v>
      </c>
      <c r="EN85" s="74" t="s">
        <v>105</v>
      </c>
      <c r="EO85" s="84"/>
    </row>
    <row r="86" spans="1:174" s="75" customFormat="1" ht="11.25" customHeight="1" x14ac:dyDescent="0.2">
      <c r="A86" s="100">
        <v>228</v>
      </c>
      <c r="B86" s="296">
        <v>202</v>
      </c>
      <c r="C86" s="31"/>
      <c r="D86" s="31" t="s">
        <v>134</v>
      </c>
      <c r="E86" s="37" t="s">
        <v>24</v>
      </c>
      <c r="F86" s="31" t="s">
        <v>380</v>
      </c>
      <c r="G86" s="60" t="s">
        <v>272</v>
      </c>
      <c r="H86" s="508" t="s">
        <v>359</v>
      </c>
      <c r="I86" s="60" t="s">
        <v>371</v>
      </c>
      <c r="J86" s="508" t="s">
        <v>359</v>
      </c>
      <c r="K86" s="37">
        <v>1980</v>
      </c>
      <c r="L86" s="157" t="s">
        <v>451</v>
      </c>
      <c r="M86" s="526" t="s">
        <v>455</v>
      </c>
      <c r="N86" s="163"/>
      <c r="O86" s="509" t="e">
        <v>#N/A</v>
      </c>
      <c r="P86" s="37"/>
      <c r="Q86" s="296" t="e">
        <v>#N/A</v>
      </c>
      <c r="R86" s="37" t="s">
        <v>386</v>
      </c>
      <c r="S86" s="37" t="s">
        <v>562</v>
      </c>
      <c r="T86" s="35" t="s">
        <v>94</v>
      </c>
      <c r="U86" s="36" t="s">
        <v>205</v>
      </c>
      <c r="V86" s="537" t="s">
        <v>424</v>
      </c>
      <c r="W86" s="295" t="s">
        <v>430</v>
      </c>
      <c r="X86" s="298" t="s">
        <v>426</v>
      </c>
      <c r="Y86" s="317" t="s">
        <v>430</v>
      </c>
      <c r="Z86" s="317" t="s">
        <v>426</v>
      </c>
      <c r="AA86" s="48" t="s">
        <v>410</v>
      </c>
      <c r="AB86" s="139">
        <v>5</v>
      </c>
      <c r="AC86" s="407" t="s">
        <v>359</v>
      </c>
      <c r="AD86" s="39">
        <v>9</v>
      </c>
      <c r="AE86" s="40">
        <v>3.66</v>
      </c>
      <c r="AF86" s="329"/>
      <c r="AG86" s="329"/>
      <c r="AH86" s="396" t="s">
        <v>341</v>
      </c>
      <c r="AI86" s="445" t="s">
        <v>359</v>
      </c>
      <c r="AJ86" s="563">
        <v>12</v>
      </c>
      <c r="AK86" s="405" t="s">
        <v>359</v>
      </c>
      <c r="AL86" s="406">
        <v>2016</v>
      </c>
      <c r="AM86" s="126"/>
      <c r="AN86" s="49"/>
      <c r="AO86" s="249">
        <v>6</v>
      </c>
      <c r="AP86" s="185" t="s">
        <v>359</v>
      </c>
      <c r="AQ86" s="80">
        <v>9</v>
      </c>
      <c r="AR86" s="43">
        <v>3.99</v>
      </c>
      <c r="AS86" s="43"/>
      <c r="AT86" s="44" t="s">
        <v>341</v>
      </c>
      <c r="AU86" s="404" t="s">
        <v>359</v>
      </c>
      <c r="AV86" s="45">
        <v>12</v>
      </c>
      <c r="AW86" s="395" t="s">
        <v>359</v>
      </c>
      <c r="AX86" s="123">
        <v>2019</v>
      </c>
      <c r="AY86" s="84"/>
      <c r="AZ86" s="383"/>
      <c r="BA86" s="392"/>
      <c r="BB86" s="47">
        <v>3</v>
      </c>
      <c r="BC86" s="253">
        <v>9</v>
      </c>
      <c r="BD86" s="205">
        <v>2.34</v>
      </c>
      <c r="BE86" s="205">
        <v>0.33</v>
      </c>
      <c r="BF86" s="53" t="s">
        <v>411</v>
      </c>
      <c r="BG86" s="54">
        <v>14</v>
      </c>
      <c r="BH86" s="343" t="s">
        <v>332</v>
      </c>
      <c r="BI86" s="56" t="s">
        <v>341</v>
      </c>
      <c r="BJ86" s="1430" t="s">
        <v>359</v>
      </c>
      <c r="BK86" s="341">
        <v>9</v>
      </c>
      <c r="BL86" s="400" t="s">
        <v>359</v>
      </c>
      <c r="BM86" s="178">
        <v>2019</v>
      </c>
      <c r="BN86" s="126"/>
      <c r="BO86" s="58"/>
      <c r="BP86" s="55">
        <v>15</v>
      </c>
      <c r="BQ86" s="346" t="s">
        <v>332</v>
      </c>
      <c r="BR86" s="56" t="s">
        <v>341</v>
      </c>
      <c r="BS86" s="395" t="s">
        <v>359</v>
      </c>
      <c r="BT86" s="339">
        <v>9</v>
      </c>
      <c r="BU86" s="395" t="s">
        <v>359</v>
      </c>
      <c r="BV86" s="46">
        <v>2020</v>
      </c>
      <c r="BW86" s="57"/>
      <c r="BX86" s="125"/>
      <c r="BY86" s="254">
        <v>0</v>
      </c>
      <c r="BZ86" s="53" t="s">
        <v>205</v>
      </c>
      <c r="CA86" s="316" t="s">
        <v>599</v>
      </c>
      <c r="CB86" s="59" t="s">
        <v>360</v>
      </c>
      <c r="CC86" s="38" t="s">
        <v>263</v>
      </c>
      <c r="CD86" s="48">
        <v>60</v>
      </c>
      <c r="CE86" s="31" t="s">
        <v>298</v>
      </c>
      <c r="CF86" s="31">
        <v>2013</v>
      </c>
      <c r="CG86" s="303" t="s">
        <v>426</v>
      </c>
      <c r="CH86" s="31"/>
      <c r="CI86" s="105"/>
      <c r="CJ86" s="31" t="s">
        <v>264</v>
      </c>
      <c r="CK86" s="51" t="s">
        <v>205</v>
      </c>
      <c r="CL86" s="61"/>
      <c r="CM86" s="62"/>
      <c r="CN86" s="61"/>
      <c r="CO86" s="76"/>
      <c r="CP86" s="51" t="s">
        <v>205</v>
      </c>
      <c r="CQ86" s="61"/>
      <c r="CR86" s="62"/>
      <c r="CS86" s="61"/>
      <c r="CT86" s="76"/>
      <c r="CU86" s="65" t="s">
        <v>105</v>
      </c>
      <c r="CV86" s="66" t="s">
        <v>45</v>
      </c>
      <c r="CW86" s="63">
        <v>12</v>
      </c>
      <c r="CX86" s="64">
        <v>2035</v>
      </c>
      <c r="CY86" s="63">
        <v>9</v>
      </c>
      <c r="CZ86" s="64">
        <v>2035</v>
      </c>
      <c r="DA86" s="63">
        <v>6</v>
      </c>
      <c r="DB86" s="64">
        <v>2035</v>
      </c>
      <c r="DC86" s="67" t="s">
        <v>205</v>
      </c>
      <c r="DD86" s="68" t="s">
        <v>195</v>
      </c>
      <c r="DE86" s="68"/>
      <c r="DF86" s="48">
        <v>660</v>
      </c>
      <c r="DG86" s="48">
        <v>457</v>
      </c>
      <c r="DH86" s="48">
        <v>34</v>
      </c>
      <c r="DI86" s="48" t="s">
        <v>403</v>
      </c>
      <c r="DJ86" s="48"/>
      <c r="DK86" s="48"/>
      <c r="DL86" s="53" t="s">
        <v>207</v>
      </c>
      <c r="DM86" s="61" t="s">
        <v>197</v>
      </c>
      <c r="DN86" s="32">
        <v>2012</v>
      </c>
      <c r="DO86" s="31"/>
      <c r="DP86" s="69"/>
      <c r="DQ86" s="32"/>
      <c r="DR86" s="76"/>
      <c r="DS86" s="77"/>
      <c r="DT86" s="78"/>
      <c r="DU86" s="71"/>
      <c r="DV86" s="84"/>
      <c r="DW86" s="33" t="s">
        <v>386</v>
      </c>
      <c r="DX86" s="315" t="s">
        <v>127</v>
      </c>
      <c r="DY86" s="33" t="s">
        <v>386</v>
      </c>
      <c r="DZ86" s="148" t="s">
        <v>341</v>
      </c>
      <c r="EA86" s="45" t="s">
        <v>359</v>
      </c>
      <c r="EB86" s="143">
        <v>12</v>
      </c>
      <c r="EC86" s="45" t="s">
        <v>359</v>
      </c>
      <c r="ED86" s="72">
        <v>2013</v>
      </c>
      <c r="EE86" s="45">
        <v>0</v>
      </c>
      <c r="EF86" s="73" t="s">
        <v>205</v>
      </c>
      <c r="EG86" s="148" t="s">
        <v>341</v>
      </c>
      <c r="EH86" s="45" t="s">
        <v>359</v>
      </c>
      <c r="EI86" s="143">
        <v>12</v>
      </c>
      <c r="EJ86" s="45" t="s">
        <v>359</v>
      </c>
      <c r="EK86" s="72">
        <v>2013</v>
      </c>
      <c r="EL86" s="31"/>
      <c r="EM86" s="51" t="s">
        <v>205</v>
      </c>
      <c r="EN86" s="74" t="s">
        <v>105</v>
      </c>
      <c r="EO86" s="84"/>
    </row>
    <row r="87" spans="1:174" s="171" customFormat="1" ht="11.25" customHeight="1" x14ac:dyDescent="0.2">
      <c r="A87" s="100">
        <v>234</v>
      </c>
      <c r="B87" s="296">
        <v>45</v>
      </c>
      <c r="C87" s="31"/>
      <c r="D87" s="31" t="s">
        <v>133</v>
      </c>
      <c r="E87" s="37" t="s">
        <v>13</v>
      </c>
      <c r="F87" s="31" t="s">
        <v>378</v>
      </c>
      <c r="G87" s="60" t="s">
        <v>11</v>
      </c>
      <c r="H87" s="508" t="s">
        <v>359</v>
      </c>
      <c r="I87" s="60" t="s">
        <v>371</v>
      </c>
      <c r="J87" s="508" t="s">
        <v>359</v>
      </c>
      <c r="K87" s="37">
        <v>1980</v>
      </c>
      <c r="L87" s="157" t="s">
        <v>451</v>
      </c>
      <c r="M87" s="526" t="s">
        <v>455</v>
      </c>
      <c r="N87" s="163"/>
      <c r="O87" s="509" t="e">
        <v>#N/A</v>
      </c>
      <c r="P87" s="37"/>
      <c r="Q87" s="296" t="e">
        <v>#N/A</v>
      </c>
      <c r="R87" s="37" t="s">
        <v>614</v>
      </c>
      <c r="S87" s="37" t="s">
        <v>562</v>
      </c>
      <c r="T87" s="35" t="s">
        <v>94</v>
      </c>
      <c r="U87" s="36" t="s">
        <v>205</v>
      </c>
      <c r="V87" s="537" t="s">
        <v>424</v>
      </c>
      <c r="W87" s="295" t="s">
        <v>430</v>
      </c>
      <c r="X87" s="298" t="s">
        <v>426</v>
      </c>
      <c r="Y87" s="317" t="s">
        <v>430</v>
      </c>
      <c r="Z87" s="317" t="s">
        <v>426</v>
      </c>
      <c r="AA87" s="48" t="s">
        <v>410</v>
      </c>
      <c r="AB87" s="117">
        <v>5</v>
      </c>
      <c r="AC87" s="407" t="s">
        <v>359</v>
      </c>
      <c r="AD87" s="39">
        <v>9</v>
      </c>
      <c r="AE87" s="40">
        <v>3.66</v>
      </c>
      <c r="AF87" s="329"/>
      <c r="AG87" s="102"/>
      <c r="AH87" s="44" t="s">
        <v>341</v>
      </c>
      <c r="AI87" s="395" t="s">
        <v>359</v>
      </c>
      <c r="AJ87" s="45" t="s">
        <v>345</v>
      </c>
      <c r="AK87" s="395" t="s">
        <v>359</v>
      </c>
      <c r="AL87" s="46">
        <v>2017</v>
      </c>
      <c r="AM87" s="126"/>
      <c r="AN87" s="49"/>
      <c r="AO87" s="249">
        <v>6</v>
      </c>
      <c r="AP87" s="185" t="s">
        <v>359</v>
      </c>
      <c r="AQ87" s="80">
        <v>9</v>
      </c>
      <c r="AR87" s="43">
        <v>3.99</v>
      </c>
      <c r="AS87" s="333"/>
      <c r="AT87" s="44" t="s">
        <v>341</v>
      </c>
      <c r="AU87" s="395" t="s">
        <v>359</v>
      </c>
      <c r="AV87" s="45" t="s">
        <v>345</v>
      </c>
      <c r="AW87" s="395" t="s">
        <v>359</v>
      </c>
      <c r="AX87" s="123">
        <v>2020</v>
      </c>
      <c r="AY87" s="84"/>
      <c r="AZ87" s="191"/>
      <c r="BA87" s="392"/>
      <c r="BB87" s="47">
        <v>3</v>
      </c>
      <c r="BC87" s="253">
        <v>1</v>
      </c>
      <c r="BD87" s="205">
        <v>2.34</v>
      </c>
      <c r="BE87" s="205">
        <v>0.33</v>
      </c>
      <c r="BF87" s="53" t="s">
        <v>411</v>
      </c>
      <c r="BG87" s="54">
        <v>14</v>
      </c>
      <c r="BH87" s="343" t="s">
        <v>332</v>
      </c>
      <c r="BI87" s="56" t="s">
        <v>341</v>
      </c>
      <c r="BJ87" s="1430" t="s">
        <v>359</v>
      </c>
      <c r="BK87" s="341">
        <v>9</v>
      </c>
      <c r="BL87" s="400" t="s">
        <v>359</v>
      </c>
      <c r="BM87" s="178">
        <v>2019</v>
      </c>
      <c r="BN87" s="126"/>
      <c r="BO87" s="58"/>
      <c r="BP87" s="55">
        <v>15</v>
      </c>
      <c r="BQ87" s="346" t="s">
        <v>332</v>
      </c>
      <c r="BR87" s="56" t="s">
        <v>341</v>
      </c>
      <c r="BS87" s="395" t="s">
        <v>359</v>
      </c>
      <c r="BT87" s="339">
        <v>9</v>
      </c>
      <c r="BU87" s="395" t="s">
        <v>359</v>
      </c>
      <c r="BV87" s="46">
        <v>2020</v>
      </c>
      <c r="BW87" s="57"/>
      <c r="BX87" s="125"/>
      <c r="BY87" s="254">
        <v>0</v>
      </c>
      <c r="BZ87" s="53" t="s">
        <v>205</v>
      </c>
      <c r="CA87" s="316" t="s">
        <v>599</v>
      </c>
      <c r="CB87" s="59" t="s">
        <v>360</v>
      </c>
      <c r="CC87" s="38" t="s">
        <v>263</v>
      </c>
      <c r="CD87" s="48">
        <v>68</v>
      </c>
      <c r="CE87" s="31" t="s">
        <v>105</v>
      </c>
      <c r="CF87" s="31"/>
      <c r="CG87" s="303"/>
      <c r="CH87" s="31"/>
      <c r="CI87" s="105"/>
      <c r="CJ87" s="31" t="s">
        <v>205</v>
      </c>
      <c r="CK87" s="51" t="s">
        <v>205</v>
      </c>
      <c r="CL87" s="61"/>
      <c r="CM87" s="62"/>
      <c r="CN87" s="61"/>
      <c r="CO87" s="76"/>
      <c r="CP87" s="51" t="s">
        <v>205</v>
      </c>
      <c r="CQ87" s="61"/>
      <c r="CR87" s="62"/>
      <c r="CS87" s="61"/>
      <c r="CT87" s="76"/>
      <c r="CU87" s="65" t="s">
        <v>105</v>
      </c>
      <c r="CV87" s="66" t="s">
        <v>45</v>
      </c>
      <c r="CW87" s="63">
        <v>12</v>
      </c>
      <c r="CX87" s="64">
        <v>2040</v>
      </c>
      <c r="CY87" s="63">
        <v>9</v>
      </c>
      <c r="CZ87" s="64">
        <v>2040</v>
      </c>
      <c r="DA87" s="63">
        <v>6</v>
      </c>
      <c r="DB87" s="64">
        <v>2040</v>
      </c>
      <c r="DC87" s="67" t="s">
        <v>205</v>
      </c>
      <c r="DD87" s="68" t="s">
        <v>195</v>
      </c>
      <c r="DE87" s="68"/>
      <c r="DF87" s="48">
        <v>720</v>
      </c>
      <c r="DG87" s="48">
        <v>457</v>
      </c>
      <c r="DH87" s="48">
        <v>34</v>
      </c>
      <c r="DI87" s="48" t="s">
        <v>404</v>
      </c>
      <c r="DJ87" s="86"/>
      <c r="DK87" s="48"/>
      <c r="DL87" s="53" t="s">
        <v>207</v>
      </c>
      <c r="DM87" s="61" t="s">
        <v>197</v>
      </c>
      <c r="DN87" s="32">
        <v>2012</v>
      </c>
      <c r="DO87" s="31"/>
      <c r="DP87" s="69"/>
      <c r="DQ87" s="32"/>
      <c r="DR87" s="76"/>
      <c r="DS87" s="77"/>
      <c r="DT87" s="78"/>
      <c r="DU87" s="71"/>
      <c r="DV87" s="84"/>
      <c r="DW87" s="33" t="s">
        <v>10</v>
      </c>
      <c r="DX87" s="315" t="s">
        <v>106</v>
      </c>
      <c r="DY87" s="33" t="s">
        <v>10</v>
      </c>
      <c r="DZ87" s="44" t="s">
        <v>341</v>
      </c>
      <c r="EA87" s="45" t="s">
        <v>359</v>
      </c>
      <c r="EB87" s="45" t="s">
        <v>345</v>
      </c>
      <c r="EC87" s="45" t="s">
        <v>359</v>
      </c>
      <c r="ED87" s="72" t="s">
        <v>362</v>
      </c>
      <c r="EE87" s="45">
        <v>0</v>
      </c>
      <c r="EF87" s="73" t="s">
        <v>205</v>
      </c>
      <c r="EG87" s="44" t="s">
        <v>341</v>
      </c>
      <c r="EH87" s="45" t="s">
        <v>359</v>
      </c>
      <c r="EI87" s="45" t="s">
        <v>345</v>
      </c>
      <c r="EJ87" s="45" t="s">
        <v>359</v>
      </c>
      <c r="EK87" s="72" t="s">
        <v>362</v>
      </c>
      <c r="EL87" s="31"/>
      <c r="EM87" s="51" t="s">
        <v>205</v>
      </c>
      <c r="EN87" s="74" t="s">
        <v>105</v>
      </c>
      <c r="EO87" s="84"/>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90"/>
      <c r="FO87" s="90"/>
      <c r="FP87" s="90"/>
      <c r="FQ87" s="90"/>
      <c r="FR87" s="90"/>
    </row>
    <row r="88" spans="1:174" s="75" customFormat="1" ht="11.25" customHeight="1" x14ac:dyDescent="0.2">
      <c r="A88" s="100">
        <v>262</v>
      </c>
      <c r="B88" s="434">
        <v>302</v>
      </c>
      <c r="C88" s="31"/>
      <c r="D88" s="31" t="s">
        <v>133</v>
      </c>
      <c r="E88" s="37" t="s">
        <v>36</v>
      </c>
      <c r="F88" s="31" t="s">
        <v>378</v>
      </c>
      <c r="G88" s="60" t="s">
        <v>326</v>
      </c>
      <c r="H88" s="508" t="s">
        <v>359</v>
      </c>
      <c r="I88" s="60">
        <v>8</v>
      </c>
      <c r="J88" s="508" t="s">
        <v>359</v>
      </c>
      <c r="K88" s="37">
        <v>1972</v>
      </c>
      <c r="L88" s="157" t="s">
        <v>451</v>
      </c>
      <c r="M88" s="526" t="s">
        <v>455</v>
      </c>
      <c r="N88" s="163"/>
      <c r="O88" s="509" t="e">
        <v>#N/A</v>
      </c>
      <c r="P88" s="37"/>
      <c r="Q88" s="296" t="e">
        <v>#N/A</v>
      </c>
      <c r="R88" s="37" t="s">
        <v>37</v>
      </c>
      <c r="S88" s="37" t="s">
        <v>565</v>
      </c>
      <c r="T88" s="35" t="s">
        <v>94</v>
      </c>
      <c r="U88" s="36" t="s">
        <v>205</v>
      </c>
      <c r="V88" s="537" t="s">
        <v>424</v>
      </c>
      <c r="W88" s="295" t="s">
        <v>430</v>
      </c>
      <c r="X88" s="298" t="s">
        <v>426</v>
      </c>
      <c r="Y88" s="317" t="s">
        <v>430</v>
      </c>
      <c r="Z88" s="317" t="s">
        <v>426</v>
      </c>
      <c r="AA88" s="48" t="s">
        <v>410</v>
      </c>
      <c r="AB88" s="117">
        <v>6</v>
      </c>
      <c r="AC88" s="407" t="s">
        <v>359</v>
      </c>
      <c r="AD88" s="39">
        <v>9</v>
      </c>
      <c r="AE88" s="40">
        <v>3.99</v>
      </c>
      <c r="AF88" s="329"/>
      <c r="AG88" s="329"/>
      <c r="AH88" s="572"/>
      <c r="AI88" s="571" t="s">
        <v>359</v>
      </c>
      <c r="AJ88" s="568"/>
      <c r="AK88" s="571" t="s">
        <v>359</v>
      </c>
      <c r="AL88" s="406"/>
      <c r="AM88" s="126"/>
      <c r="AN88" s="49"/>
      <c r="AO88" s="249">
        <v>7</v>
      </c>
      <c r="AP88" s="185" t="s">
        <v>359</v>
      </c>
      <c r="AQ88" s="80">
        <v>9</v>
      </c>
      <c r="AR88" s="43">
        <v>4.32</v>
      </c>
      <c r="AS88" s="333"/>
      <c r="AT88" s="44" t="s">
        <v>341</v>
      </c>
      <c r="AU88" s="395" t="s">
        <v>359</v>
      </c>
      <c r="AV88" s="45" t="s">
        <v>348</v>
      </c>
      <c r="AW88" s="395" t="s">
        <v>359</v>
      </c>
      <c r="AX88" s="123">
        <v>2020</v>
      </c>
      <c r="AY88" s="84"/>
      <c r="AZ88" s="191"/>
      <c r="BA88" s="392"/>
      <c r="BB88" s="47">
        <v>3</v>
      </c>
      <c r="BC88" s="253">
        <v>0</v>
      </c>
      <c r="BD88" s="205">
        <v>2.34</v>
      </c>
      <c r="BE88" s="205">
        <v>0.33</v>
      </c>
      <c r="BF88" s="53" t="s">
        <v>411</v>
      </c>
      <c r="BG88" s="54">
        <v>14</v>
      </c>
      <c r="BH88" s="343" t="s">
        <v>332</v>
      </c>
      <c r="BI88" s="56" t="s">
        <v>341</v>
      </c>
      <c r="BJ88" s="1430" t="s">
        <v>359</v>
      </c>
      <c r="BK88" s="341">
        <v>9</v>
      </c>
      <c r="BL88" s="400" t="s">
        <v>359</v>
      </c>
      <c r="BM88" s="178">
        <v>2019</v>
      </c>
      <c r="BN88" s="126"/>
      <c r="BO88" s="58"/>
      <c r="BP88" s="55">
        <v>15</v>
      </c>
      <c r="BQ88" s="346" t="s">
        <v>332</v>
      </c>
      <c r="BR88" s="56" t="s">
        <v>341</v>
      </c>
      <c r="BS88" s="395" t="s">
        <v>359</v>
      </c>
      <c r="BT88" s="339">
        <v>9</v>
      </c>
      <c r="BU88" s="395" t="s">
        <v>359</v>
      </c>
      <c r="BV88" s="46">
        <v>2020</v>
      </c>
      <c r="BW88" s="57"/>
      <c r="BX88" s="125"/>
      <c r="BY88" s="254">
        <v>0</v>
      </c>
      <c r="BZ88" s="53" t="s">
        <v>205</v>
      </c>
      <c r="CA88" s="316" t="s">
        <v>595</v>
      </c>
      <c r="CB88" s="59" t="s">
        <v>360</v>
      </c>
      <c r="CC88" s="38" t="s">
        <v>263</v>
      </c>
      <c r="CD88" s="48">
        <v>69</v>
      </c>
      <c r="CE88" s="31" t="s">
        <v>105</v>
      </c>
      <c r="CF88" s="31"/>
      <c r="CG88" s="303"/>
      <c r="CH88" s="31"/>
      <c r="CI88" s="105"/>
      <c r="CJ88" s="31" t="s">
        <v>205</v>
      </c>
      <c r="CK88" s="51" t="s">
        <v>205</v>
      </c>
      <c r="CL88" s="61"/>
      <c r="CM88" s="62"/>
      <c r="CN88" s="61"/>
      <c r="CO88" s="76"/>
      <c r="CP88" s="51" t="s">
        <v>205</v>
      </c>
      <c r="CQ88" s="61"/>
      <c r="CR88" s="62"/>
      <c r="CS88" s="61"/>
      <c r="CT88" s="76"/>
      <c r="CU88" s="65" t="s">
        <v>105</v>
      </c>
      <c r="CV88" s="66" t="s">
        <v>45</v>
      </c>
      <c r="CW88" s="63">
        <v>9</v>
      </c>
      <c r="CX88" s="64">
        <v>2032</v>
      </c>
      <c r="CY88" s="63">
        <v>6</v>
      </c>
      <c r="CZ88" s="64">
        <v>2032</v>
      </c>
      <c r="DA88" s="63">
        <v>3</v>
      </c>
      <c r="DB88" s="64">
        <v>2032</v>
      </c>
      <c r="DC88" s="67" t="s">
        <v>205</v>
      </c>
      <c r="DD88" s="68" t="s">
        <v>195</v>
      </c>
      <c r="DE88" s="68"/>
      <c r="DF88" s="48">
        <v>720</v>
      </c>
      <c r="DG88" s="48">
        <v>556</v>
      </c>
      <c r="DH88" s="48">
        <v>42</v>
      </c>
      <c r="DI88" s="48" t="s">
        <v>402</v>
      </c>
      <c r="DJ88" s="48"/>
      <c r="DK88" s="48"/>
      <c r="DL88" s="53" t="s">
        <v>207</v>
      </c>
      <c r="DM88" s="61" t="s">
        <v>197</v>
      </c>
      <c r="DN88" s="32">
        <v>2008</v>
      </c>
      <c r="DO88" s="31"/>
      <c r="DP88" s="69"/>
      <c r="DQ88" s="32"/>
      <c r="DR88" s="76"/>
      <c r="DS88" s="77"/>
      <c r="DT88" s="78"/>
      <c r="DU88" s="71"/>
      <c r="DV88" s="84"/>
      <c r="DW88" s="33" t="s">
        <v>37</v>
      </c>
      <c r="DX88" s="315" t="s">
        <v>116</v>
      </c>
      <c r="DY88" s="33" t="s">
        <v>37</v>
      </c>
      <c r="DZ88" s="44" t="s">
        <v>341</v>
      </c>
      <c r="EA88" s="45" t="s">
        <v>359</v>
      </c>
      <c r="EB88" s="45" t="s">
        <v>348</v>
      </c>
      <c r="EC88" s="45" t="s">
        <v>359</v>
      </c>
      <c r="ED88" s="72" t="s">
        <v>362</v>
      </c>
      <c r="EE88" s="45">
        <v>0</v>
      </c>
      <c r="EF88" s="73" t="s">
        <v>205</v>
      </c>
      <c r="EG88" s="44" t="s">
        <v>341</v>
      </c>
      <c r="EH88" s="45" t="s">
        <v>359</v>
      </c>
      <c r="EI88" s="45" t="s">
        <v>348</v>
      </c>
      <c r="EJ88" s="45" t="s">
        <v>359</v>
      </c>
      <c r="EK88" s="72" t="s">
        <v>362</v>
      </c>
      <c r="EL88" s="31"/>
      <c r="EM88" s="51" t="s">
        <v>205</v>
      </c>
      <c r="EN88" s="74" t="s">
        <v>105</v>
      </c>
      <c r="EO88" s="84"/>
    </row>
    <row r="89" spans="1:174" s="171" customFormat="1" ht="11.25" customHeight="1" x14ac:dyDescent="0.2">
      <c r="A89" s="100">
        <v>270</v>
      </c>
      <c r="B89" s="296">
        <v>310</v>
      </c>
      <c r="C89" s="31"/>
      <c r="D89" s="31" t="s">
        <v>134</v>
      </c>
      <c r="E89" s="37" t="s">
        <v>34</v>
      </c>
      <c r="F89" s="31" t="s">
        <v>380</v>
      </c>
      <c r="G89" s="60" t="s">
        <v>272</v>
      </c>
      <c r="H89" s="508" t="s">
        <v>359</v>
      </c>
      <c r="I89" s="60" t="s">
        <v>345</v>
      </c>
      <c r="J89" s="508" t="s">
        <v>359</v>
      </c>
      <c r="K89" s="37" t="s">
        <v>8</v>
      </c>
      <c r="L89" s="157" t="s">
        <v>451</v>
      </c>
      <c r="M89" s="526" t="s">
        <v>455</v>
      </c>
      <c r="N89" s="163"/>
      <c r="O89" s="509" t="e">
        <v>#N/A</v>
      </c>
      <c r="P89" s="37"/>
      <c r="Q89" s="296" t="e">
        <v>#N/A</v>
      </c>
      <c r="R89" s="37" t="s">
        <v>103</v>
      </c>
      <c r="S89" s="37" t="s">
        <v>565</v>
      </c>
      <c r="T89" s="35" t="s">
        <v>256</v>
      </c>
      <c r="U89" s="36" t="s">
        <v>95</v>
      </c>
      <c r="V89" s="537" t="s">
        <v>424</v>
      </c>
      <c r="W89" s="295" t="s">
        <v>429</v>
      </c>
      <c r="X89" s="298" t="s">
        <v>427</v>
      </c>
      <c r="Y89" s="317" t="s">
        <v>429</v>
      </c>
      <c r="Z89" s="317" t="s">
        <v>427</v>
      </c>
      <c r="AA89" s="48" t="s">
        <v>410</v>
      </c>
      <c r="AB89" s="139">
        <v>2</v>
      </c>
      <c r="AC89" s="407" t="s">
        <v>359</v>
      </c>
      <c r="AD89" s="39">
        <v>6</v>
      </c>
      <c r="AE89" s="40">
        <v>6.5600000000000005</v>
      </c>
      <c r="AF89" s="329"/>
      <c r="AG89" s="102"/>
      <c r="AH89" s="396"/>
      <c r="AI89" s="405" t="s">
        <v>359</v>
      </c>
      <c r="AJ89" s="102"/>
      <c r="AK89" s="405" t="s">
        <v>359</v>
      </c>
      <c r="AL89" s="406"/>
      <c r="AM89" s="126"/>
      <c r="AN89" s="49"/>
      <c r="AO89" s="249">
        <v>3</v>
      </c>
      <c r="AP89" s="185" t="s">
        <v>359</v>
      </c>
      <c r="AQ89" s="80">
        <v>6</v>
      </c>
      <c r="AR89" s="43">
        <v>6.9200000000000008</v>
      </c>
      <c r="AS89" s="333"/>
      <c r="AT89" s="44" t="s">
        <v>341</v>
      </c>
      <c r="AU89" s="395" t="s">
        <v>359</v>
      </c>
      <c r="AV89" s="45" t="s">
        <v>346</v>
      </c>
      <c r="AW89" s="395" t="s">
        <v>359</v>
      </c>
      <c r="AX89" s="569">
        <v>2019</v>
      </c>
      <c r="AY89" s="104"/>
      <c r="AZ89" s="383" t="s">
        <v>627</v>
      </c>
      <c r="BA89" s="394"/>
      <c r="BB89" s="47">
        <v>3</v>
      </c>
      <c r="BC89" s="253">
        <v>18</v>
      </c>
      <c r="BD89" s="205">
        <v>6.2</v>
      </c>
      <c r="BE89" s="205">
        <v>0.36</v>
      </c>
      <c r="BF89" s="53" t="s">
        <v>411</v>
      </c>
      <c r="BG89" s="54">
        <v>34</v>
      </c>
      <c r="BH89" s="343" t="s">
        <v>332</v>
      </c>
      <c r="BI89" s="56" t="s">
        <v>341</v>
      </c>
      <c r="BJ89" s="1430" t="s">
        <v>359</v>
      </c>
      <c r="BK89" s="341">
        <v>9</v>
      </c>
      <c r="BL89" s="400" t="s">
        <v>359</v>
      </c>
      <c r="BM89" s="178">
        <v>2019</v>
      </c>
      <c r="BN89" s="126"/>
      <c r="BO89" s="58"/>
      <c r="BP89" s="55">
        <v>35</v>
      </c>
      <c r="BQ89" s="346" t="s">
        <v>332</v>
      </c>
      <c r="BR89" s="56" t="s">
        <v>341</v>
      </c>
      <c r="BS89" s="395" t="s">
        <v>359</v>
      </c>
      <c r="BT89" s="339">
        <v>9</v>
      </c>
      <c r="BU89" s="395" t="s">
        <v>359</v>
      </c>
      <c r="BV89" s="46">
        <v>2020</v>
      </c>
      <c r="BW89" s="57"/>
      <c r="BX89" s="125"/>
      <c r="BY89" s="254">
        <v>0</v>
      </c>
      <c r="BZ89" s="53">
        <v>42</v>
      </c>
      <c r="CA89" s="316" t="s">
        <v>595</v>
      </c>
      <c r="CB89" s="59" t="s">
        <v>360</v>
      </c>
      <c r="CC89" s="38" t="s">
        <v>263</v>
      </c>
      <c r="CD89" s="48">
        <v>51</v>
      </c>
      <c r="CE89" s="31" t="s">
        <v>298</v>
      </c>
      <c r="CF89" s="31">
        <v>2010</v>
      </c>
      <c r="CG89" s="303" t="s">
        <v>428</v>
      </c>
      <c r="CH89" s="31"/>
      <c r="CI89" s="105"/>
      <c r="CJ89" s="31" t="s">
        <v>205</v>
      </c>
      <c r="CK89" s="51" t="s">
        <v>205</v>
      </c>
      <c r="CL89" s="61"/>
      <c r="CM89" s="62"/>
      <c r="CN89" s="61"/>
      <c r="CO89" s="76"/>
      <c r="CP89" s="51" t="s">
        <v>205</v>
      </c>
      <c r="CQ89" s="61"/>
      <c r="CR89" s="62"/>
      <c r="CS89" s="61"/>
      <c r="CT89" s="76"/>
      <c r="CU89" s="65" t="s">
        <v>105</v>
      </c>
      <c r="CV89" s="66" t="s">
        <v>626</v>
      </c>
      <c r="CW89" s="63">
        <v>9</v>
      </c>
      <c r="CX89" s="64">
        <v>2018</v>
      </c>
      <c r="CY89" s="63">
        <v>6</v>
      </c>
      <c r="CZ89" s="64">
        <v>2018</v>
      </c>
      <c r="DA89" s="63">
        <v>3</v>
      </c>
      <c r="DB89" s="64">
        <v>2018</v>
      </c>
      <c r="DC89" s="67">
        <v>48</v>
      </c>
      <c r="DD89" s="68" t="s">
        <v>195</v>
      </c>
      <c r="DE89" s="68"/>
      <c r="DF89" s="48">
        <v>660</v>
      </c>
      <c r="DG89" s="48">
        <v>664</v>
      </c>
      <c r="DH89" s="48">
        <v>51</v>
      </c>
      <c r="DI89" s="48" t="s">
        <v>408</v>
      </c>
      <c r="DJ89" s="48"/>
      <c r="DK89" s="48"/>
      <c r="DL89" s="53" t="s">
        <v>209</v>
      </c>
      <c r="DM89" s="61" t="s">
        <v>208</v>
      </c>
      <c r="DN89" s="32"/>
      <c r="DO89" s="31"/>
      <c r="DP89" s="69"/>
      <c r="DQ89" s="32"/>
      <c r="DR89" s="76"/>
      <c r="DS89" s="77"/>
      <c r="DT89" s="78"/>
      <c r="DU89" s="71"/>
      <c r="DV89" s="84"/>
      <c r="DW89" s="33" t="s">
        <v>103</v>
      </c>
      <c r="DX89" s="315" t="s">
        <v>116</v>
      </c>
      <c r="DY89" s="33" t="s">
        <v>103</v>
      </c>
      <c r="DZ89" s="148" t="s">
        <v>341</v>
      </c>
      <c r="EA89" s="45" t="s">
        <v>359</v>
      </c>
      <c r="EB89" s="45" t="s">
        <v>349</v>
      </c>
      <c r="EC89" s="45" t="s">
        <v>359</v>
      </c>
      <c r="ED89" s="72">
        <v>2013</v>
      </c>
      <c r="EE89" s="45">
        <v>0</v>
      </c>
      <c r="EF89" s="73" t="s">
        <v>205</v>
      </c>
      <c r="EG89" s="148" t="s">
        <v>341</v>
      </c>
      <c r="EH89" s="45" t="s">
        <v>359</v>
      </c>
      <c r="EI89" s="45" t="s">
        <v>349</v>
      </c>
      <c r="EJ89" s="45" t="s">
        <v>359</v>
      </c>
      <c r="EK89" s="72">
        <v>2013</v>
      </c>
      <c r="EL89" s="31"/>
      <c r="EM89" s="51" t="s">
        <v>205</v>
      </c>
      <c r="EN89" s="74">
        <v>-12</v>
      </c>
      <c r="EO89" s="84"/>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row>
    <row r="90" spans="1:174" s="75" customFormat="1" ht="11.25" customHeight="1" x14ac:dyDescent="0.2">
      <c r="A90" s="100">
        <v>279</v>
      </c>
      <c r="B90" s="296">
        <v>280</v>
      </c>
      <c r="C90" s="31"/>
      <c r="D90" s="31" t="s">
        <v>134</v>
      </c>
      <c r="E90" s="37" t="s">
        <v>29</v>
      </c>
      <c r="F90" s="31" t="s">
        <v>380</v>
      </c>
      <c r="G90" s="60" t="s">
        <v>270</v>
      </c>
      <c r="H90" s="508" t="s">
        <v>359</v>
      </c>
      <c r="I90" s="60" t="s">
        <v>370</v>
      </c>
      <c r="J90" s="508" t="s">
        <v>359</v>
      </c>
      <c r="K90" s="37">
        <v>1967</v>
      </c>
      <c r="L90" s="157" t="s">
        <v>451</v>
      </c>
      <c r="M90" s="526" t="s">
        <v>455</v>
      </c>
      <c r="N90" s="163"/>
      <c r="O90" s="509" t="s">
        <v>93</v>
      </c>
      <c r="P90" s="37" t="s">
        <v>476</v>
      </c>
      <c r="Q90" s="296">
        <v>0.8</v>
      </c>
      <c r="R90" s="37"/>
      <c r="S90" s="37" t="s">
        <v>115</v>
      </c>
      <c r="T90" s="35" t="s">
        <v>296</v>
      </c>
      <c r="U90" s="36" t="s">
        <v>297</v>
      </c>
      <c r="V90" s="537" t="s">
        <v>424</v>
      </c>
      <c r="W90" s="295" t="s">
        <v>431</v>
      </c>
      <c r="X90" s="298" t="s">
        <v>428</v>
      </c>
      <c r="Y90" s="317" t="s">
        <v>431</v>
      </c>
      <c r="Z90" s="317" t="s">
        <v>428</v>
      </c>
      <c r="AA90" s="48" t="s">
        <v>410</v>
      </c>
      <c r="AB90" s="139">
        <v>5</v>
      </c>
      <c r="AC90" s="407" t="s">
        <v>359</v>
      </c>
      <c r="AD90" s="39">
        <v>8</v>
      </c>
      <c r="AE90" s="40">
        <v>5.76</v>
      </c>
      <c r="AF90" s="329"/>
      <c r="AG90" s="102"/>
      <c r="AH90" s="396" t="s">
        <v>341</v>
      </c>
      <c r="AI90" s="445" t="s">
        <v>359</v>
      </c>
      <c r="AJ90" s="102">
        <v>3</v>
      </c>
      <c r="AK90" s="405" t="s">
        <v>359</v>
      </c>
      <c r="AL90" s="406">
        <v>2017</v>
      </c>
      <c r="AM90" s="126"/>
      <c r="AN90" s="49"/>
      <c r="AO90" s="249">
        <v>6</v>
      </c>
      <c r="AP90" s="185" t="s">
        <v>359</v>
      </c>
      <c r="AQ90" s="80">
        <v>8</v>
      </c>
      <c r="AR90" s="43">
        <v>6.1</v>
      </c>
      <c r="AS90" s="333"/>
      <c r="AT90" s="44" t="s">
        <v>341</v>
      </c>
      <c r="AU90" s="404" t="s">
        <v>359</v>
      </c>
      <c r="AV90" s="45">
        <v>3</v>
      </c>
      <c r="AW90" s="395" t="s">
        <v>359</v>
      </c>
      <c r="AX90" s="439">
        <v>2020</v>
      </c>
      <c r="AY90" s="84"/>
      <c r="AZ90" s="383"/>
      <c r="BA90" s="392"/>
      <c r="BB90" s="47">
        <v>3</v>
      </c>
      <c r="BC90" s="253">
        <v>6</v>
      </c>
      <c r="BD90" s="205">
        <v>4.4000000000000004</v>
      </c>
      <c r="BE90" s="205">
        <v>0.34</v>
      </c>
      <c r="BF90" s="53" t="s">
        <v>411</v>
      </c>
      <c r="BG90" s="54">
        <v>29</v>
      </c>
      <c r="BH90" s="343" t="s">
        <v>332</v>
      </c>
      <c r="BI90" s="56" t="s">
        <v>341</v>
      </c>
      <c r="BJ90" s="1430" t="s">
        <v>359</v>
      </c>
      <c r="BK90" s="341">
        <v>9</v>
      </c>
      <c r="BL90" s="400" t="s">
        <v>359</v>
      </c>
      <c r="BM90" s="178">
        <v>2019</v>
      </c>
      <c r="BN90" s="126"/>
      <c r="BO90" s="58"/>
      <c r="BP90" s="55">
        <v>30</v>
      </c>
      <c r="BQ90" s="346" t="s">
        <v>332</v>
      </c>
      <c r="BR90" s="56" t="s">
        <v>341</v>
      </c>
      <c r="BS90" s="395" t="s">
        <v>359</v>
      </c>
      <c r="BT90" s="339">
        <v>9</v>
      </c>
      <c r="BU90" s="395" t="s">
        <v>359</v>
      </c>
      <c r="BV90" s="46">
        <v>2020</v>
      </c>
      <c r="BW90" s="57"/>
      <c r="BX90" s="125"/>
      <c r="BY90" s="254">
        <v>0</v>
      </c>
      <c r="BZ90" s="53" t="s">
        <v>205</v>
      </c>
      <c r="CA90" s="316" t="s">
        <v>589</v>
      </c>
      <c r="CB90" s="59" t="s">
        <v>360</v>
      </c>
      <c r="CC90" s="38" t="s">
        <v>263</v>
      </c>
      <c r="CD90" s="48">
        <v>63</v>
      </c>
      <c r="CE90" s="31" t="s">
        <v>298</v>
      </c>
      <c r="CF90" s="31">
        <v>2013</v>
      </c>
      <c r="CG90" s="303" t="s">
        <v>428</v>
      </c>
      <c r="CH90" s="31"/>
      <c r="CI90" s="105"/>
      <c r="CJ90" s="31" t="s">
        <v>264</v>
      </c>
      <c r="CK90" s="51" t="s">
        <v>227</v>
      </c>
      <c r="CL90" s="61">
        <v>1</v>
      </c>
      <c r="CM90" s="62">
        <v>2009</v>
      </c>
      <c r="CN90" s="61"/>
      <c r="CO90" s="76"/>
      <c r="CP90" s="51" t="s">
        <v>205</v>
      </c>
      <c r="CQ90" s="61"/>
      <c r="CR90" s="62"/>
      <c r="CS90" s="61"/>
      <c r="CT90" s="76"/>
      <c r="CU90" s="65" t="s">
        <v>105</v>
      </c>
      <c r="CV90" s="66" t="s">
        <v>45</v>
      </c>
      <c r="CW90" s="63">
        <v>11</v>
      </c>
      <c r="CX90" s="64">
        <v>2022</v>
      </c>
      <c r="CY90" s="63">
        <v>8</v>
      </c>
      <c r="CZ90" s="64">
        <v>2022</v>
      </c>
      <c r="DA90" s="63">
        <v>5</v>
      </c>
      <c r="DB90" s="64">
        <v>2022</v>
      </c>
      <c r="DC90" s="67" t="s">
        <v>205</v>
      </c>
      <c r="DD90" s="68" t="s">
        <v>195</v>
      </c>
      <c r="DE90" s="68"/>
      <c r="DF90" s="48">
        <v>660</v>
      </c>
      <c r="DG90" s="48">
        <v>614</v>
      </c>
      <c r="DH90" s="48">
        <v>47</v>
      </c>
      <c r="DI90" s="48" t="s">
        <v>406</v>
      </c>
      <c r="DJ90" s="48"/>
      <c r="DK90" s="48"/>
      <c r="DL90" s="53" t="s">
        <v>209</v>
      </c>
      <c r="DM90" s="61" t="s">
        <v>208</v>
      </c>
      <c r="DN90" s="32"/>
      <c r="DO90" s="31"/>
      <c r="DP90" s="69"/>
      <c r="DQ90" s="32"/>
      <c r="DR90" s="76"/>
      <c r="DS90" s="77"/>
      <c r="DT90" s="78"/>
      <c r="DU90" s="71"/>
      <c r="DV90" s="84"/>
      <c r="DW90" s="33"/>
      <c r="DX90" s="315" t="s">
        <v>111</v>
      </c>
      <c r="DY90" s="33"/>
      <c r="DZ90" s="148" t="s">
        <v>341</v>
      </c>
      <c r="EA90" s="45" t="s">
        <v>359</v>
      </c>
      <c r="EB90" s="143">
        <v>3</v>
      </c>
      <c r="EC90" s="45" t="s">
        <v>359</v>
      </c>
      <c r="ED90" s="72">
        <v>2014</v>
      </c>
      <c r="EE90" s="45">
        <v>0</v>
      </c>
      <c r="EF90" s="73" t="s">
        <v>205</v>
      </c>
      <c r="EG90" s="148" t="s">
        <v>341</v>
      </c>
      <c r="EH90" s="45" t="s">
        <v>359</v>
      </c>
      <c r="EI90" s="143">
        <v>3</v>
      </c>
      <c r="EJ90" s="45" t="s">
        <v>359</v>
      </c>
      <c r="EK90" s="72">
        <v>2014</v>
      </c>
      <c r="EL90" s="31">
        <v>4.6500000000000004</v>
      </c>
      <c r="EM90" s="51" t="s">
        <v>205</v>
      </c>
      <c r="EN90" s="74" t="s">
        <v>105</v>
      </c>
      <c r="EO90" s="84"/>
      <c r="FN90" s="182"/>
      <c r="FO90" s="182"/>
      <c r="FP90" s="182"/>
      <c r="FQ90" s="182"/>
      <c r="FR90" s="182"/>
    </row>
    <row r="91" spans="1:174" s="171" customFormat="1" ht="11.25" customHeight="1" x14ac:dyDescent="0.2">
      <c r="A91" s="100">
        <v>280</v>
      </c>
      <c r="B91" s="434">
        <v>277</v>
      </c>
      <c r="C91" s="31"/>
      <c r="D91" s="31" t="s">
        <v>134</v>
      </c>
      <c r="E91" s="37" t="s">
        <v>1</v>
      </c>
      <c r="F91" s="31" t="s">
        <v>380</v>
      </c>
      <c r="G91" s="60" t="s">
        <v>277</v>
      </c>
      <c r="H91" s="508" t="s">
        <v>359</v>
      </c>
      <c r="I91" s="60" t="s">
        <v>347</v>
      </c>
      <c r="J91" s="508" t="s">
        <v>359</v>
      </c>
      <c r="K91" s="37" t="s">
        <v>312</v>
      </c>
      <c r="L91" s="157" t="s">
        <v>451</v>
      </c>
      <c r="M91" s="526" t="s">
        <v>455</v>
      </c>
      <c r="N91" s="163"/>
      <c r="O91" s="509" t="s">
        <v>93</v>
      </c>
      <c r="P91" s="37" t="s">
        <v>237</v>
      </c>
      <c r="Q91" s="296">
        <v>1</v>
      </c>
      <c r="R91" s="37"/>
      <c r="S91" s="37" t="s">
        <v>111</v>
      </c>
      <c r="T91" s="35" t="s">
        <v>256</v>
      </c>
      <c r="U91" s="36" t="s">
        <v>95</v>
      </c>
      <c r="V91" s="537" t="s">
        <v>424</v>
      </c>
      <c r="W91" s="295" t="s">
        <v>429</v>
      </c>
      <c r="X91" s="298" t="s">
        <v>427</v>
      </c>
      <c r="Y91" s="317" t="s">
        <v>429</v>
      </c>
      <c r="Z91" s="317" t="s">
        <v>427</v>
      </c>
      <c r="AA91" s="48" t="s">
        <v>410</v>
      </c>
      <c r="AB91" s="139">
        <v>4</v>
      </c>
      <c r="AC91" s="407" t="s">
        <v>359</v>
      </c>
      <c r="AD91" s="39">
        <v>6</v>
      </c>
      <c r="AE91" s="40">
        <v>7.28</v>
      </c>
      <c r="AF91" s="329"/>
      <c r="AG91" s="102"/>
      <c r="AH91" s="396" t="s">
        <v>341</v>
      </c>
      <c r="AI91" s="405" t="s">
        <v>359</v>
      </c>
      <c r="AJ91" s="102" t="s">
        <v>343</v>
      </c>
      <c r="AK91" s="405" t="s">
        <v>359</v>
      </c>
      <c r="AL91" s="406">
        <v>2017</v>
      </c>
      <c r="AM91" s="126"/>
      <c r="AN91" s="49"/>
      <c r="AO91" s="249">
        <v>5</v>
      </c>
      <c r="AP91" s="185" t="s">
        <v>359</v>
      </c>
      <c r="AQ91" s="80">
        <v>6</v>
      </c>
      <c r="AR91" s="43">
        <v>7.6400000000000006</v>
      </c>
      <c r="AS91" s="333"/>
      <c r="AT91" s="44" t="s">
        <v>341</v>
      </c>
      <c r="AU91" s="395" t="s">
        <v>359</v>
      </c>
      <c r="AV91" s="45" t="s">
        <v>343</v>
      </c>
      <c r="AW91" s="395" t="s">
        <v>359</v>
      </c>
      <c r="AX91" s="123">
        <v>2020</v>
      </c>
      <c r="AY91" s="84"/>
      <c r="AZ91" s="383"/>
      <c r="BA91" s="392"/>
      <c r="BB91" s="47">
        <v>3</v>
      </c>
      <c r="BC91" s="253">
        <v>4</v>
      </c>
      <c r="BD91" s="205">
        <v>6.2</v>
      </c>
      <c r="BE91" s="205">
        <v>0.36</v>
      </c>
      <c r="BF91" s="53" t="s">
        <v>411</v>
      </c>
      <c r="BG91" s="54">
        <v>38</v>
      </c>
      <c r="BH91" s="343" t="s">
        <v>332</v>
      </c>
      <c r="BI91" s="56" t="s">
        <v>341</v>
      </c>
      <c r="BJ91" s="1430" t="s">
        <v>359</v>
      </c>
      <c r="BK91" s="341">
        <v>9</v>
      </c>
      <c r="BL91" s="400" t="s">
        <v>359</v>
      </c>
      <c r="BM91" s="178">
        <v>2019</v>
      </c>
      <c r="BN91" s="126"/>
      <c r="BO91" s="58"/>
      <c r="BP91" s="55">
        <v>39</v>
      </c>
      <c r="BQ91" s="346" t="s">
        <v>332</v>
      </c>
      <c r="BR91" s="56" t="s">
        <v>341</v>
      </c>
      <c r="BS91" s="395" t="s">
        <v>359</v>
      </c>
      <c r="BT91" s="339">
        <v>9</v>
      </c>
      <c r="BU91" s="395" t="s">
        <v>359</v>
      </c>
      <c r="BV91" s="46">
        <v>2020</v>
      </c>
      <c r="BW91" s="57"/>
      <c r="BX91" s="125"/>
      <c r="BY91" s="254">
        <v>0</v>
      </c>
      <c r="BZ91" s="53" t="s">
        <v>205</v>
      </c>
      <c r="CA91" s="316" t="s">
        <v>630</v>
      </c>
      <c r="CB91" s="59" t="s">
        <v>360</v>
      </c>
      <c r="CC91" s="38" t="s">
        <v>263</v>
      </c>
      <c r="CD91" s="48">
        <v>65</v>
      </c>
      <c r="CE91" s="31" t="s">
        <v>298</v>
      </c>
      <c r="CF91" s="31">
        <v>2017</v>
      </c>
      <c r="CG91" s="303"/>
      <c r="CH91" s="31"/>
      <c r="CI91" s="105"/>
      <c r="CJ91" s="31" t="s">
        <v>205</v>
      </c>
      <c r="CK91" s="51" t="s">
        <v>227</v>
      </c>
      <c r="CL91" s="61">
        <v>5</v>
      </c>
      <c r="CM91" s="62">
        <v>2012</v>
      </c>
      <c r="CN91" s="61"/>
      <c r="CO91" s="76"/>
      <c r="CP91" s="51" t="s">
        <v>205</v>
      </c>
      <c r="CQ91" s="61"/>
      <c r="CR91" s="62"/>
      <c r="CS91" s="61"/>
      <c r="CT91" s="76"/>
      <c r="CU91" s="65" t="s">
        <v>105</v>
      </c>
      <c r="CV91" s="66" t="s">
        <v>45</v>
      </c>
      <c r="CW91" s="63">
        <v>8</v>
      </c>
      <c r="CX91" s="64">
        <v>2021</v>
      </c>
      <c r="CY91" s="63">
        <v>5</v>
      </c>
      <c r="CZ91" s="64">
        <v>2021</v>
      </c>
      <c r="DA91" s="63">
        <v>2</v>
      </c>
      <c r="DB91" s="64">
        <v>2021</v>
      </c>
      <c r="DC91" s="67" t="s">
        <v>205</v>
      </c>
      <c r="DD91" s="68" t="s">
        <v>587</v>
      </c>
      <c r="DE91" s="68">
        <v>7</v>
      </c>
      <c r="DF91" s="48">
        <v>744</v>
      </c>
      <c r="DG91" s="48">
        <v>713</v>
      </c>
      <c r="DH91" s="48">
        <v>55</v>
      </c>
      <c r="DI91" s="48" t="s">
        <v>408</v>
      </c>
      <c r="DJ91" s="48"/>
      <c r="DK91" s="48"/>
      <c r="DL91" s="53" t="s">
        <v>209</v>
      </c>
      <c r="DM91" s="61" t="s">
        <v>208</v>
      </c>
      <c r="DN91" s="32"/>
      <c r="DO91" s="31"/>
      <c r="DP91" s="69"/>
      <c r="DQ91" s="32"/>
      <c r="DR91" s="76"/>
      <c r="DS91" s="77"/>
      <c r="DT91" s="78"/>
      <c r="DU91" s="71"/>
      <c r="DV91" s="84"/>
      <c r="DW91" s="33"/>
      <c r="DX91" s="315" t="s">
        <v>111</v>
      </c>
      <c r="DY91" s="33"/>
      <c r="DZ91" s="44" t="s">
        <v>341</v>
      </c>
      <c r="EA91" s="45" t="s">
        <v>359</v>
      </c>
      <c r="EB91" s="45" t="s">
        <v>343</v>
      </c>
      <c r="EC91" s="45" t="s">
        <v>359</v>
      </c>
      <c r="ED91" s="72">
        <v>2012</v>
      </c>
      <c r="EE91" s="45">
        <v>0</v>
      </c>
      <c r="EF91" s="73" t="s">
        <v>205</v>
      </c>
      <c r="EG91" s="44" t="s">
        <v>341</v>
      </c>
      <c r="EH91" s="45" t="s">
        <v>359</v>
      </c>
      <c r="EI91" s="45" t="s">
        <v>343</v>
      </c>
      <c r="EJ91" s="45" t="s">
        <v>359</v>
      </c>
      <c r="EK91" s="72">
        <v>2012</v>
      </c>
      <c r="EL91" s="31">
        <v>5.42</v>
      </c>
      <c r="EM91" s="51" t="s">
        <v>205</v>
      </c>
      <c r="EN91" s="74" t="s">
        <v>105</v>
      </c>
      <c r="EO91" s="84"/>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row>
    <row r="92" spans="1:174" s="244" customFormat="1" ht="11.25" customHeight="1" x14ac:dyDescent="0.2">
      <c r="A92" s="100">
        <v>290</v>
      </c>
      <c r="B92" s="434">
        <v>286</v>
      </c>
      <c r="C92" s="31"/>
      <c r="D92" s="31" t="s">
        <v>134</v>
      </c>
      <c r="E92" s="37" t="s">
        <v>31</v>
      </c>
      <c r="F92" s="31" t="s">
        <v>380</v>
      </c>
      <c r="G92" s="60" t="s">
        <v>371</v>
      </c>
      <c r="H92" s="508" t="s">
        <v>359</v>
      </c>
      <c r="I92" s="60" t="s">
        <v>341</v>
      </c>
      <c r="J92" s="508" t="s">
        <v>359</v>
      </c>
      <c r="K92" s="37">
        <v>1980</v>
      </c>
      <c r="L92" s="157" t="s">
        <v>451</v>
      </c>
      <c r="M92" s="526" t="s">
        <v>455</v>
      </c>
      <c r="N92" s="163"/>
      <c r="O92" s="509" t="e">
        <v>#N/A</v>
      </c>
      <c r="P92" s="37"/>
      <c r="Q92" s="296" t="e">
        <v>#N/A</v>
      </c>
      <c r="R92" s="37" t="s">
        <v>30</v>
      </c>
      <c r="S92" s="37" t="s">
        <v>111</v>
      </c>
      <c r="T92" s="35" t="s">
        <v>94</v>
      </c>
      <c r="U92" s="36" t="s">
        <v>205</v>
      </c>
      <c r="V92" s="537" t="s">
        <v>424</v>
      </c>
      <c r="W92" s="295" t="s">
        <v>430</v>
      </c>
      <c r="X92" s="298" t="s">
        <v>426</v>
      </c>
      <c r="Y92" s="317" t="s">
        <v>430</v>
      </c>
      <c r="Z92" s="317" t="s">
        <v>426</v>
      </c>
      <c r="AA92" s="48" t="s">
        <v>410</v>
      </c>
      <c r="AB92" s="139">
        <v>5</v>
      </c>
      <c r="AC92" s="407" t="s">
        <v>359</v>
      </c>
      <c r="AD92" s="39">
        <v>9</v>
      </c>
      <c r="AE92" s="40">
        <v>3.66</v>
      </c>
      <c r="AF92" s="329"/>
      <c r="AG92" s="102"/>
      <c r="AH92" s="396" t="s">
        <v>341</v>
      </c>
      <c r="AI92" s="405" t="s">
        <v>359</v>
      </c>
      <c r="AJ92" s="102" t="s">
        <v>348</v>
      </c>
      <c r="AK92" s="405" t="s">
        <v>359</v>
      </c>
      <c r="AL92" s="406">
        <v>2015</v>
      </c>
      <c r="AM92" s="126"/>
      <c r="AN92" s="49"/>
      <c r="AO92" s="249">
        <v>6</v>
      </c>
      <c r="AP92" s="185" t="s">
        <v>359</v>
      </c>
      <c r="AQ92" s="80">
        <v>9</v>
      </c>
      <c r="AR92" s="43">
        <v>3.99</v>
      </c>
      <c r="AS92" s="333"/>
      <c r="AT92" s="44" t="s">
        <v>341</v>
      </c>
      <c r="AU92" s="395" t="s">
        <v>359</v>
      </c>
      <c r="AV92" s="45" t="s">
        <v>348</v>
      </c>
      <c r="AW92" s="395" t="s">
        <v>359</v>
      </c>
      <c r="AX92" s="123">
        <v>2018</v>
      </c>
      <c r="AY92" s="84"/>
      <c r="AZ92" s="383"/>
      <c r="BA92" s="392"/>
      <c r="BB92" s="47">
        <v>3</v>
      </c>
      <c r="BC92" s="253">
        <v>24</v>
      </c>
      <c r="BD92" s="205">
        <v>2.34</v>
      </c>
      <c r="BE92" s="205">
        <v>0.33</v>
      </c>
      <c r="BF92" s="53" t="s">
        <v>411</v>
      </c>
      <c r="BG92" s="54">
        <v>16</v>
      </c>
      <c r="BH92" s="343" t="s">
        <v>332</v>
      </c>
      <c r="BI92" s="56" t="s">
        <v>341</v>
      </c>
      <c r="BJ92" s="1430" t="s">
        <v>359</v>
      </c>
      <c r="BK92" s="341">
        <v>9</v>
      </c>
      <c r="BL92" s="400" t="s">
        <v>359</v>
      </c>
      <c r="BM92" s="178">
        <v>2019</v>
      </c>
      <c r="BN92" s="126"/>
      <c r="BO92" s="58"/>
      <c r="BP92" s="55">
        <v>17</v>
      </c>
      <c r="BQ92" s="346" t="s">
        <v>332</v>
      </c>
      <c r="BR92" s="56" t="s">
        <v>341</v>
      </c>
      <c r="BS92" s="395" t="s">
        <v>359</v>
      </c>
      <c r="BT92" s="339">
        <v>9</v>
      </c>
      <c r="BU92" s="395" t="s">
        <v>359</v>
      </c>
      <c r="BV92" s="46">
        <v>2020</v>
      </c>
      <c r="BW92" s="57"/>
      <c r="BX92" s="125"/>
      <c r="BY92" s="254">
        <v>0</v>
      </c>
      <c r="BZ92" s="53" t="s">
        <v>205</v>
      </c>
      <c r="CA92" s="316" t="s">
        <v>630</v>
      </c>
      <c r="CB92" s="59" t="s">
        <v>360</v>
      </c>
      <c r="CC92" s="38" t="s">
        <v>263</v>
      </c>
      <c r="CD92" s="48">
        <v>45</v>
      </c>
      <c r="CE92" s="31" t="s">
        <v>105</v>
      </c>
      <c r="CF92" s="31"/>
      <c r="CG92" s="303"/>
      <c r="CH92" s="31"/>
      <c r="CI92" s="105"/>
      <c r="CJ92" s="31" t="s">
        <v>205</v>
      </c>
      <c r="CK92" s="51" t="s">
        <v>205</v>
      </c>
      <c r="CL92" s="61"/>
      <c r="CM92" s="62"/>
      <c r="CN92" s="61"/>
      <c r="CO92" s="76"/>
      <c r="CP92" s="51" t="s">
        <v>205</v>
      </c>
      <c r="CQ92" s="61"/>
      <c r="CR92" s="32"/>
      <c r="CS92" s="61"/>
      <c r="CT92" s="76"/>
      <c r="CU92" s="65" t="s">
        <v>105</v>
      </c>
      <c r="CV92" s="66" t="s">
        <v>45</v>
      </c>
      <c r="CW92" s="63">
        <v>2</v>
      </c>
      <c r="CX92" s="64">
        <v>2035</v>
      </c>
      <c r="CY92" s="63">
        <v>11</v>
      </c>
      <c r="CZ92" s="64">
        <v>2034</v>
      </c>
      <c r="DA92" s="63">
        <v>8</v>
      </c>
      <c r="DB92" s="64">
        <v>2034</v>
      </c>
      <c r="DC92" s="67" t="s">
        <v>205</v>
      </c>
      <c r="DD92" s="68" t="s">
        <v>195</v>
      </c>
      <c r="DE92" s="68"/>
      <c r="DF92" s="48">
        <v>660</v>
      </c>
      <c r="DG92" s="48">
        <v>467</v>
      </c>
      <c r="DH92" s="48">
        <v>34</v>
      </c>
      <c r="DI92" s="48" t="s">
        <v>403</v>
      </c>
      <c r="DJ92" s="48"/>
      <c r="DK92" s="48"/>
      <c r="DL92" s="53" t="s">
        <v>207</v>
      </c>
      <c r="DM92" s="61" t="s">
        <v>197</v>
      </c>
      <c r="DN92" s="32">
        <v>2009</v>
      </c>
      <c r="DO92" s="31"/>
      <c r="DP92" s="69"/>
      <c r="DQ92" s="32"/>
      <c r="DR92" s="76"/>
      <c r="DS92" s="77"/>
      <c r="DT92" s="78"/>
      <c r="DU92" s="71"/>
      <c r="DV92" s="84"/>
      <c r="DW92" s="33" t="s">
        <v>30</v>
      </c>
      <c r="DX92" s="315" t="s">
        <v>111</v>
      </c>
      <c r="DY92" s="33" t="s">
        <v>30</v>
      </c>
      <c r="DZ92" s="44" t="s">
        <v>341</v>
      </c>
      <c r="EA92" s="45" t="s">
        <v>359</v>
      </c>
      <c r="EB92" s="45" t="s">
        <v>348</v>
      </c>
      <c r="EC92" s="45" t="s">
        <v>359</v>
      </c>
      <c r="ED92" s="72">
        <v>2012</v>
      </c>
      <c r="EE92" s="45">
        <v>0</v>
      </c>
      <c r="EF92" s="73" t="s">
        <v>205</v>
      </c>
      <c r="EG92" s="44" t="s">
        <v>341</v>
      </c>
      <c r="EH92" s="45" t="s">
        <v>359</v>
      </c>
      <c r="EI92" s="45" t="s">
        <v>348</v>
      </c>
      <c r="EJ92" s="45" t="s">
        <v>359</v>
      </c>
      <c r="EK92" s="72">
        <v>2012</v>
      </c>
      <c r="EL92" s="31"/>
      <c r="EM92" s="51" t="s">
        <v>205</v>
      </c>
      <c r="EN92" s="74" t="s">
        <v>105</v>
      </c>
      <c r="EO92" s="84"/>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row>
    <row r="93" spans="1:174" s="75" customFormat="1" ht="11.25" customHeight="1" x14ac:dyDescent="0.2">
      <c r="A93" s="100">
        <v>339</v>
      </c>
      <c r="B93" s="434">
        <v>383</v>
      </c>
      <c r="C93" s="31"/>
      <c r="D93" s="31" t="s">
        <v>134</v>
      </c>
      <c r="E93" s="37" t="s">
        <v>41</v>
      </c>
      <c r="F93" s="31" t="s">
        <v>380</v>
      </c>
      <c r="G93" s="60" t="s">
        <v>273</v>
      </c>
      <c r="H93" s="508" t="s">
        <v>359</v>
      </c>
      <c r="I93" s="60" t="s">
        <v>341</v>
      </c>
      <c r="J93" s="508" t="s">
        <v>359</v>
      </c>
      <c r="K93" s="37" t="s">
        <v>0</v>
      </c>
      <c r="L93" s="157" t="s">
        <v>451</v>
      </c>
      <c r="M93" s="526" t="s">
        <v>455</v>
      </c>
      <c r="N93" s="163"/>
      <c r="O93" s="509" t="e">
        <v>#N/A</v>
      </c>
      <c r="P93" s="37"/>
      <c r="Q93" s="296" t="e">
        <v>#N/A</v>
      </c>
      <c r="R93" s="37" t="s">
        <v>39</v>
      </c>
      <c r="S93" s="37" t="s">
        <v>119</v>
      </c>
      <c r="T93" s="35" t="s">
        <v>296</v>
      </c>
      <c r="U93" s="36" t="s">
        <v>297</v>
      </c>
      <c r="V93" s="537" t="s">
        <v>424</v>
      </c>
      <c r="W93" s="428" t="s">
        <v>431</v>
      </c>
      <c r="X93" s="298" t="s">
        <v>428</v>
      </c>
      <c r="Y93" s="317" t="s">
        <v>431</v>
      </c>
      <c r="Z93" s="317" t="s">
        <v>428</v>
      </c>
      <c r="AA93" s="48" t="s">
        <v>410</v>
      </c>
      <c r="AB93" s="117">
        <v>3</v>
      </c>
      <c r="AC93" s="407" t="s">
        <v>359</v>
      </c>
      <c r="AD93" s="39">
        <v>8</v>
      </c>
      <c r="AE93" s="40">
        <v>5.08</v>
      </c>
      <c r="AF93" s="329"/>
      <c r="AG93" s="329"/>
      <c r="AH93" s="329" t="s">
        <v>341</v>
      </c>
      <c r="AI93" s="332" t="s">
        <v>359</v>
      </c>
      <c r="AJ93" s="329" t="s">
        <v>341</v>
      </c>
      <c r="AK93" s="332" t="s">
        <v>359</v>
      </c>
      <c r="AL93" s="435">
        <v>2017</v>
      </c>
      <c r="AM93" s="126"/>
      <c r="AN93" s="49"/>
      <c r="AO93" s="41">
        <v>4</v>
      </c>
      <c r="AP93" s="401" t="s">
        <v>359</v>
      </c>
      <c r="AQ93" s="80">
        <v>8</v>
      </c>
      <c r="AR93" s="43">
        <v>5.42</v>
      </c>
      <c r="AS93" s="333"/>
      <c r="AT93" s="44" t="s">
        <v>341</v>
      </c>
      <c r="AU93" s="395" t="s">
        <v>359</v>
      </c>
      <c r="AV93" s="45" t="s">
        <v>341</v>
      </c>
      <c r="AW93" s="395" t="s">
        <v>359</v>
      </c>
      <c r="AX93" s="123">
        <v>2020</v>
      </c>
      <c r="AY93" s="84"/>
      <c r="AZ93" s="191"/>
      <c r="BA93" s="392"/>
      <c r="BB93" s="47">
        <v>3</v>
      </c>
      <c r="BC93" s="429">
        <v>8</v>
      </c>
      <c r="BD93" s="205">
        <v>4.4000000000000004</v>
      </c>
      <c r="BE93" s="205">
        <v>0.34</v>
      </c>
      <c r="BF93" s="53" t="s">
        <v>411</v>
      </c>
      <c r="BG93" s="54">
        <v>19</v>
      </c>
      <c r="BH93" s="343" t="s">
        <v>332</v>
      </c>
      <c r="BI93" s="56" t="s">
        <v>341</v>
      </c>
      <c r="BJ93" s="1430" t="s">
        <v>359</v>
      </c>
      <c r="BK93" s="341">
        <v>9</v>
      </c>
      <c r="BL93" s="400" t="s">
        <v>359</v>
      </c>
      <c r="BM93" s="178">
        <v>2019</v>
      </c>
      <c r="BN93" s="126"/>
      <c r="BO93" s="58"/>
      <c r="BP93" s="55">
        <v>20</v>
      </c>
      <c r="BQ93" s="346" t="s">
        <v>332</v>
      </c>
      <c r="BR93" s="56" t="s">
        <v>341</v>
      </c>
      <c r="BS93" s="395" t="s">
        <v>359</v>
      </c>
      <c r="BT93" s="339">
        <v>9</v>
      </c>
      <c r="BU93" s="395" t="s">
        <v>359</v>
      </c>
      <c r="BV93" s="46">
        <v>2020</v>
      </c>
      <c r="BW93" s="57"/>
      <c r="BX93" s="125"/>
      <c r="BY93" s="254">
        <v>0</v>
      </c>
      <c r="BZ93" s="53" t="s">
        <v>205</v>
      </c>
      <c r="CA93" s="316" t="s">
        <v>613</v>
      </c>
      <c r="CB93" s="59" t="s">
        <v>360</v>
      </c>
      <c r="CC93" s="38" t="s">
        <v>263</v>
      </c>
      <c r="CD93" s="48">
        <v>61</v>
      </c>
      <c r="CE93" s="31" t="s">
        <v>105</v>
      </c>
      <c r="CF93" s="31"/>
      <c r="CG93" s="303"/>
      <c r="CH93" s="31"/>
      <c r="CI93" s="105"/>
      <c r="CJ93" s="31" t="s">
        <v>205</v>
      </c>
      <c r="CK93" s="51" t="s">
        <v>227</v>
      </c>
      <c r="CL93" s="61">
        <v>1</v>
      </c>
      <c r="CM93" s="62" t="s">
        <v>362</v>
      </c>
      <c r="CN93" s="61"/>
      <c r="CO93" s="76"/>
      <c r="CP93" s="51" t="s">
        <v>205</v>
      </c>
      <c r="CQ93" s="61"/>
      <c r="CR93" s="62"/>
      <c r="CS93" s="61"/>
      <c r="CT93" s="76"/>
      <c r="CU93" s="65" t="s">
        <v>105</v>
      </c>
      <c r="CV93" s="66" t="s">
        <v>45</v>
      </c>
      <c r="CW93" s="63">
        <v>2</v>
      </c>
      <c r="CX93" s="64">
        <v>2031</v>
      </c>
      <c r="CY93" s="63">
        <v>11</v>
      </c>
      <c r="CZ93" s="64">
        <v>2030</v>
      </c>
      <c r="DA93" s="63">
        <v>8</v>
      </c>
      <c r="DB93" s="64">
        <v>2030</v>
      </c>
      <c r="DC93" s="67" t="s">
        <v>205</v>
      </c>
      <c r="DD93" s="68" t="s">
        <v>195</v>
      </c>
      <c r="DE93" s="68"/>
      <c r="DF93" s="48">
        <v>660</v>
      </c>
      <c r="DG93" s="48">
        <v>515</v>
      </c>
      <c r="DH93" s="48">
        <v>38</v>
      </c>
      <c r="DI93" s="48" t="s">
        <v>403</v>
      </c>
      <c r="DJ93" s="48"/>
      <c r="DK93" s="48"/>
      <c r="DL93" s="53" t="s">
        <v>207</v>
      </c>
      <c r="DM93" s="61" t="s">
        <v>208</v>
      </c>
      <c r="DN93" s="32"/>
      <c r="DO93" s="31"/>
      <c r="DP93" s="69"/>
      <c r="DQ93" s="32"/>
      <c r="DR93" s="76"/>
      <c r="DS93" s="77"/>
      <c r="DT93" s="78"/>
      <c r="DU93" s="71"/>
      <c r="DV93" s="84"/>
      <c r="DW93" s="33" t="s">
        <v>39</v>
      </c>
      <c r="DX93" s="315" t="s">
        <v>119</v>
      </c>
      <c r="DY93" s="33" t="s">
        <v>39</v>
      </c>
      <c r="DZ93" s="44" t="s">
        <v>341</v>
      </c>
      <c r="EA93" s="45" t="s">
        <v>359</v>
      </c>
      <c r="EB93" s="45" t="s">
        <v>341</v>
      </c>
      <c r="EC93" s="45" t="s">
        <v>359</v>
      </c>
      <c r="ED93" s="72">
        <v>2014</v>
      </c>
      <c r="EE93" s="45">
        <v>0</v>
      </c>
      <c r="EF93" s="73" t="s">
        <v>205</v>
      </c>
      <c r="EG93" s="44" t="s">
        <v>341</v>
      </c>
      <c r="EH93" s="45" t="s">
        <v>359</v>
      </c>
      <c r="EI93" s="45" t="s">
        <v>341</v>
      </c>
      <c r="EJ93" s="45" t="s">
        <v>359</v>
      </c>
      <c r="EK93" s="72">
        <v>2014</v>
      </c>
      <c r="EL93" s="31">
        <v>3.66</v>
      </c>
      <c r="EM93" s="51" t="s">
        <v>205</v>
      </c>
      <c r="EN93" s="74" t="s">
        <v>105</v>
      </c>
      <c r="EO93" s="84"/>
    </row>
    <row r="94" spans="1:174" s="75" customFormat="1" ht="11.25" customHeight="1" x14ac:dyDescent="0.2">
      <c r="A94" s="100">
        <v>345</v>
      </c>
      <c r="B94" s="434">
        <v>388</v>
      </c>
      <c r="C94" s="31"/>
      <c r="D94" s="31" t="s">
        <v>134</v>
      </c>
      <c r="E94" s="37" t="s">
        <v>44</v>
      </c>
      <c r="F94" s="31" t="s">
        <v>380</v>
      </c>
      <c r="G94" s="60" t="s">
        <v>268</v>
      </c>
      <c r="H94" s="508" t="s">
        <v>359</v>
      </c>
      <c r="I94" s="60" t="s">
        <v>349</v>
      </c>
      <c r="J94" s="508" t="s">
        <v>359</v>
      </c>
      <c r="K94" s="37">
        <v>1972</v>
      </c>
      <c r="L94" s="157" t="s">
        <v>451</v>
      </c>
      <c r="M94" s="526" t="s">
        <v>455</v>
      </c>
      <c r="N94" s="163"/>
      <c r="O94" s="509" t="s">
        <v>93</v>
      </c>
      <c r="P94" s="37" t="s">
        <v>249</v>
      </c>
      <c r="Q94" s="296">
        <v>0.6</v>
      </c>
      <c r="R94" s="37" t="s">
        <v>317</v>
      </c>
      <c r="S94" s="37" t="s">
        <v>119</v>
      </c>
      <c r="T94" s="35" t="s">
        <v>296</v>
      </c>
      <c r="U94" s="36" t="s">
        <v>297</v>
      </c>
      <c r="V94" s="537" t="s">
        <v>424</v>
      </c>
      <c r="W94" s="295" t="s">
        <v>431</v>
      </c>
      <c r="X94" s="298" t="s">
        <v>428</v>
      </c>
      <c r="Y94" s="317" t="s">
        <v>431</v>
      </c>
      <c r="Z94" s="317" t="s">
        <v>428</v>
      </c>
      <c r="AA94" s="48" t="s">
        <v>410</v>
      </c>
      <c r="AB94" s="139">
        <v>3</v>
      </c>
      <c r="AC94" s="407" t="s">
        <v>359</v>
      </c>
      <c r="AD94" s="39">
        <v>8</v>
      </c>
      <c r="AE94" s="40">
        <v>5.08</v>
      </c>
      <c r="AF94" s="329"/>
      <c r="AG94" s="329"/>
      <c r="AH94" s="572" t="s">
        <v>341</v>
      </c>
      <c r="AI94" s="571" t="s">
        <v>359</v>
      </c>
      <c r="AJ94" s="568" t="s">
        <v>341</v>
      </c>
      <c r="AK94" s="571" t="s">
        <v>359</v>
      </c>
      <c r="AL94" s="406">
        <v>2017</v>
      </c>
      <c r="AM94" s="126"/>
      <c r="AN94" s="49"/>
      <c r="AO94" s="41">
        <v>4</v>
      </c>
      <c r="AP94" s="401" t="s">
        <v>359</v>
      </c>
      <c r="AQ94" s="80">
        <v>8</v>
      </c>
      <c r="AR94" s="43">
        <v>5.42</v>
      </c>
      <c r="AS94" s="43"/>
      <c r="AT94" s="44" t="s">
        <v>341</v>
      </c>
      <c r="AU94" s="395" t="s">
        <v>359</v>
      </c>
      <c r="AV94" s="45" t="s">
        <v>341</v>
      </c>
      <c r="AW94" s="395" t="s">
        <v>359</v>
      </c>
      <c r="AX94" s="123">
        <v>2020</v>
      </c>
      <c r="AY94" s="84"/>
      <c r="AZ94" s="191"/>
      <c r="BA94" s="392"/>
      <c r="BB94" s="47">
        <v>3</v>
      </c>
      <c r="BC94" s="253">
        <v>8</v>
      </c>
      <c r="BD94" s="205">
        <v>4.4000000000000004</v>
      </c>
      <c r="BE94" s="205">
        <v>0.34</v>
      </c>
      <c r="BF94" s="53" t="s">
        <v>411</v>
      </c>
      <c r="BG94" s="54">
        <v>22</v>
      </c>
      <c r="BH94" s="343" t="s">
        <v>332</v>
      </c>
      <c r="BI94" s="56" t="s">
        <v>341</v>
      </c>
      <c r="BJ94" s="1430" t="s">
        <v>359</v>
      </c>
      <c r="BK94" s="341">
        <v>9</v>
      </c>
      <c r="BL94" s="400" t="s">
        <v>359</v>
      </c>
      <c r="BM94" s="178">
        <v>2019</v>
      </c>
      <c r="BN94" s="126"/>
      <c r="BO94" s="58"/>
      <c r="BP94" s="55">
        <v>23</v>
      </c>
      <c r="BQ94" s="346" t="s">
        <v>332</v>
      </c>
      <c r="BR94" s="56" t="s">
        <v>341</v>
      </c>
      <c r="BS94" s="395" t="s">
        <v>359</v>
      </c>
      <c r="BT94" s="339">
        <v>9</v>
      </c>
      <c r="BU94" s="395" t="s">
        <v>359</v>
      </c>
      <c r="BV94" s="46">
        <v>2020</v>
      </c>
      <c r="BW94" s="57"/>
      <c r="BX94" s="125"/>
      <c r="BY94" s="254">
        <v>0</v>
      </c>
      <c r="BZ94" s="53" t="s">
        <v>205</v>
      </c>
      <c r="CA94" s="316" t="s">
        <v>613</v>
      </c>
      <c r="CB94" s="59" t="s">
        <v>360</v>
      </c>
      <c r="CC94" s="38" t="s">
        <v>263</v>
      </c>
      <c r="CD94" s="48">
        <v>61</v>
      </c>
      <c r="CE94" s="31" t="s">
        <v>105</v>
      </c>
      <c r="CF94" s="31"/>
      <c r="CG94" s="303"/>
      <c r="CH94" s="31"/>
      <c r="CI94" s="105"/>
      <c r="CJ94" s="31" t="s">
        <v>205</v>
      </c>
      <c r="CK94" s="51" t="s">
        <v>227</v>
      </c>
      <c r="CL94" s="61">
        <v>1</v>
      </c>
      <c r="CM94" s="62" t="s">
        <v>362</v>
      </c>
      <c r="CN94" s="61"/>
      <c r="CO94" s="76"/>
      <c r="CP94" s="51" t="s">
        <v>205</v>
      </c>
      <c r="CQ94" s="61"/>
      <c r="CR94" s="62"/>
      <c r="CS94" s="61"/>
      <c r="CT94" s="76"/>
      <c r="CU94" s="65" t="s">
        <v>105</v>
      </c>
      <c r="CV94" s="66" t="s">
        <v>45</v>
      </c>
      <c r="CW94" s="63">
        <v>1</v>
      </c>
      <c r="CX94" s="64">
        <v>2028</v>
      </c>
      <c r="CY94" s="63">
        <v>10</v>
      </c>
      <c r="CZ94" s="64">
        <v>2027</v>
      </c>
      <c r="DA94" s="63">
        <v>7</v>
      </c>
      <c r="DB94" s="64">
        <v>2027</v>
      </c>
      <c r="DC94" s="67" t="s">
        <v>205</v>
      </c>
      <c r="DD94" s="68" t="s">
        <v>195</v>
      </c>
      <c r="DE94" s="68"/>
      <c r="DF94" s="48">
        <v>660</v>
      </c>
      <c r="DG94" s="48">
        <v>552</v>
      </c>
      <c r="DH94" s="48">
        <v>42</v>
      </c>
      <c r="DI94" s="48" t="s">
        <v>406</v>
      </c>
      <c r="DJ94" s="48"/>
      <c r="DK94" s="48"/>
      <c r="DL94" s="53" t="s">
        <v>207</v>
      </c>
      <c r="DM94" s="61" t="s">
        <v>208</v>
      </c>
      <c r="DN94" s="32"/>
      <c r="DO94" s="31"/>
      <c r="DP94" s="69"/>
      <c r="DQ94" s="32"/>
      <c r="DR94" s="76"/>
      <c r="DS94" s="77"/>
      <c r="DT94" s="78"/>
      <c r="DU94" s="71"/>
      <c r="DV94" s="84"/>
      <c r="DW94" s="33" t="s">
        <v>317</v>
      </c>
      <c r="DX94" s="315" t="s">
        <v>119</v>
      </c>
      <c r="DY94" s="33" t="s">
        <v>317</v>
      </c>
      <c r="DZ94" s="44" t="s">
        <v>341</v>
      </c>
      <c r="EA94" s="45" t="s">
        <v>359</v>
      </c>
      <c r="EB94" s="45" t="s">
        <v>341</v>
      </c>
      <c r="EC94" s="45" t="s">
        <v>359</v>
      </c>
      <c r="ED94" s="72">
        <v>2014</v>
      </c>
      <c r="EE94" s="45">
        <v>0</v>
      </c>
      <c r="EF94" s="73" t="s">
        <v>205</v>
      </c>
      <c r="EG94" s="44" t="s">
        <v>341</v>
      </c>
      <c r="EH94" s="45" t="s">
        <v>359</v>
      </c>
      <c r="EI94" s="45" t="s">
        <v>341</v>
      </c>
      <c r="EJ94" s="45" t="s">
        <v>359</v>
      </c>
      <c r="EK94" s="72">
        <v>2014</v>
      </c>
      <c r="EL94" s="31">
        <v>3.66</v>
      </c>
      <c r="EM94" s="51" t="s">
        <v>205</v>
      </c>
      <c r="EN94" s="74" t="s">
        <v>105</v>
      </c>
      <c r="EO94" s="84"/>
      <c r="FN94" s="121"/>
      <c r="FO94" s="121"/>
      <c r="FP94" s="121"/>
      <c r="FQ94" s="121"/>
      <c r="FR94" s="121"/>
    </row>
    <row r="95" spans="1:174" s="244" customFormat="1" ht="13.5" customHeight="1" x14ac:dyDescent="0.2">
      <c r="A95" s="100">
        <v>454</v>
      </c>
      <c r="B95" s="434">
        <v>460</v>
      </c>
      <c r="C95" s="31"/>
      <c r="D95" s="31" t="s">
        <v>134</v>
      </c>
      <c r="E95" s="37" t="s">
        <v>102</v>
      </c>
      <c r="F95" s="31" t="s">
        <v>380</v>
      </c>
      <c r="G95" s="60" t="s">
        <v>280</v>
      </c>
      <c r="H95" s="508" t="s">
        <v>359</v>
      </c>
      <c r="I95" s="60" t="s">
        <v>370</v>
      </c>
      <c r="J95" s="508" t="s">
        <v>359</v>
      </c>
      <c r="K95" s="37" t="s">
        <v>0</v>
      </c>
      <c r="L95" s="157" t="s">
        <v>451</v>
      </c>
      <c r="M95" s="526" t="s">
        <v>455</v>
      </c>
      <c r="N95" s="163"/>
      <c r="O95" s="509" t="e">
        <v>#N/A</v>
      </c>
      <c r="P95" s="37"/>
      <c r="Q95" s="296" t="e">
        <v>#N/A</v>
      </c>
      <c r="R95" s="37" t="s">
        <v>602</v>
      </c>
      <c r="S95" s="37" t="s">
        <v>119</v>
      </c>
      <c r="T95" s="35" t="s">
        <v>94</v>
      </c>
      <c r="U95" s="36" t="s">
        <v>205</v>
      </c>
      <c r="V95" s="537" t="s">
        <v>424</v>
      </c>
      <c r="W95" s="295" t="s">
        <v>430</v>
      </c>
      <c r="X95" s="298" t="s">
        <v>426</v>
      </c>
      <c r="Y95" s="317" t="s">
        <v>430</v>
      </c>
      <c r="Z95" s="317" t="s">
        <v>426</v>
      </c>
      <c r="AA95" s="48" t="s">
        <v>410</v>
      </c>
      <c r="AB95" s="139">
        <v>5</v>
      </c>
      <c r="AC95" s="407" t="s">
        <v>359</v>
      </c>
      <c r="AD95" s="39">
        <v>9</v>
      </c>
      <c r="AE95" s="40">
        <v>3.66</v>
      </c>
      <c r="AF95" s="329"/>
      <c r="AG95" s="329"/>
      <c r="AH95" s="396"/>
      <c r="AI95" s="445" t="s">
        <v>359</v>
      </c>
      <c r="AJ95" s="102"/>
      <c r="AK95" s="405" t="s">
        <v>359</v>
      </c>
      <c r="AL95" s="406"/>
      <c r="AM95" s="126"/>
      <c r="AN95" s="49"/>
      <c r="AO95" s="41">
        <v>6</v>
      </c>
      <c r="AP95" s="401" t="s">
        <v>359</v>
      </c>
      <c r="AQ95" s="80">
        <v>9</v>
      </c>
      <c r="AR95" s="43">
        <v>3.99</v>
      </c>
      <c r="AS95" s="43"/>
      <c r="AT95" s="44" t="s">
        <v>341</v>
      </c>
      <c r="AU95" s="404" t="s">
        <v>359</v>
      </c>
      <c r="AV95" s="45" t="s">
        <v>370</v>
      </c>
      <c r="AW95" s="395" t="s">
        <v>359</v>
      </c>
      <c r="AX95" s="123">
        <v>2018</v>
      </c>
      <c r="AY95" s="123"/>
      <c r="AZ95" s="388" t="s">
        <v>596</v>
      </c>
      <c r="BA95" s="392"/>
      <c r="BB95" s="47">
        <v>3</v>
      </c>
      <c r="BC95" s="253">
        <v>23</v>
      </c>
      <c r="BD95" s="205">
        <v>2.34</v>
      </c>
      <c r="BE95" s="205">
        <v>0.33</v>
      </c>
      <c r="BF95" s="53" t="s">
        <v>411</v>
      </c>
      <c r="BG95" s="54">
        <v>14</v>
      </c>
      <c r="BH95" s="343" t="s">
        <v>332</v>
      </c>
      <c r="BI95" s="56" t="s">
        <v>341</v>
      </c>
      <c r="BJ95" s="1430" t="s">
        <v>359</v>
      </c>
      <c r="BK95" s="341">
        <v>9</v>
      </c>
      <c r="BL95" s="400" t="s">
        <v>359</v>
      </c>
      <c r="BM95" s="178">
        <v>2019</v>
      </c>
      <c r="BN95" s="126"/>
      <c r="BO95" s="58"/>
      <c r="BP95" s="55">
        <v>15</v>
      </c>
      <c r="BQ95" s="346" t="s">
        <v>332</v>
      </c>
      <c r="BR95" s="56" t="s">
        <v>341</v>
      </c>
      <c r="BS95" s="395" t="s">
        <v>359</v>
      </c>
      <c r="BT95" s="339">
        <v>9</v>
      </c>
      <c r="BU95" s="395" t="s">
        <v>359</v>
      </c>
      <c r="BV95" s="46">
        <v>2020</v>
      </c>
      <c r="BW95" s="57" t="s">
        <v>16</v>
      </c>
      <c r="BX95" s="125"/>
      <c r="BY95" s="254">
        <v>0</v>
      </c>
      <c r="BZ95" s="53" t="s">
        <v>205</v>
      </c>
      <c r="CA95" s="316" t="s">
        <v>613</v>
      </c>
      <c r="CB95" s="59" t="s">
        <v>360</v>
      </c>
      <c r="CC95" s="38" t="s">
        <v>263</v>
      </c>
      <c r="CD95" s="48">
        <v>46</v>
      </c>
      <c r="CE95" s="31" t="s">
        <v>105</v>
      </c>
      <c r="CF95" s="31"/>
      <c r="CG95" s="303"/>
      <c r="CH95" s="31"/>
      <c r="CI95" s="105"/>
      <c r="CJ95" s="31" t="s">
        <v>205</v>
      </c>
      <c r="CK95" s="51" t="s">
        <v>205</v>
      </c>
      <c r="CL95" s="61" t="s">
        <v>105</v>
      </c>
      <c r="CM95" s="62"/>
      <c r="CN95" s="61"/>
      <c r="CO95" s="76"/>
      <c r="CP95" s="51" t="s">
        <v>205</v>
      </c>
      <c r="CQ95" s="61"/>
      <c r="CR95" s="62"/>
      <c r="CS95" s="61"/>
      <c r="CT95" s="76"/>
      <c r="CU95" s="65" t="s">
        <v>105</v>
      </c>
      <c r="CV95" s="66" t="s">
        <v>45</v>
      </c>
      <c r="CW95" s="63">
        <v>11</v>
      </c>
      <c r="CX95" s="64">
        <v>2031</v>
      </c>
      <c r="CY95" s="63">
        <v>8</v>
      </c>
      <c r="CZ95" s="64">
        <v>2031</v>
      </c>
      <c r="DA95" s="63">
        <v>5</v>
      </c>
      <c r="DB95" s="64">
        <v>2031</v>
      </c>
      <c r="DC95" s="67" t="s">
        <v>205</v>
      </c>
      <c r="DD95" s="68" t="s">
        <v>195</v>
      </c>
      <c r="DE95" s="68"/>
      <c r="DF95" s="48">
        <v>660</v>
      </c>
      <c r="DG95" s="48">
        <v>506</v>
      </c>
      <c r="DH95" s="48">
        <v>38</v>
      </c>
      <c r="DI95" s="48" t="s">
        <v>403</v>
      </c>
      <c r="DJ95" s="48"/>
      <c r="DK95" s="48"/>
      <c r="DL95" s="53" t="s">
        <v>207</v>
      </c>
      <c r="DM95" s="61"/>
      <c r="DN95" s="32" t="s">
        <v>197</v>
      </c>
      <c r="DO95" s="31"/>
      <c r="DP95" s="69"/>
      <c r="DQ95" s="32"/>
      <c r="DR95" s="76"/>
      <c r="DS95" s="77"/>
      <c r="DT95" s="78"/>
      <c r="DU95" s="71"/>
      <c r="DV95" s="84"/>
      <c r="DW95" s="33"/>
      <c r="DX95" s="315" t="s">
        <v>361</v>
      </c>
      <c r="DY95" s="33"/>
      <c r="DZ95" s="148" t="s">
        <v>341</v>
      </c>
      <c r="EA95" s="45" t="s">
        <v>359</v>
      </c>
      <c r="EB95" s="143" t="s">
        <v>376</v>
      </c>
      <c r="EC95" s="45" t="s">
        <v>359</v>
      </c>
      <c r="ED95" s="72">
        <v>2013</v>
      </c>
      <c r="EE95" s="45">
        <v>0</v>
      </c>
      <c r="EF95" s="73" t="s">
        <v>205</v>
      </c>
      <c r="EG95" s="148" t="s">
        <v>341</v>
      </c>
      <c r="EH95" s="45" t="s">
        <v>359</v>
      </c>
      <c r="EI95" s="143" t="s">
        <v>376</v>
      </c>
      <c r="EJ95" s="45" t="s">
        <v>359</v>
      </c>
      <c r="EK95" s="72">
        <v>2013</v>
      </c>
      <c r="EL95" s="31"/>
      <c r="EM95" s="51" t="s">
        <v>205</v>
      </c>
      <c r="EN95" s="74" t="s">
        <v>105</v>
      </c>
      <c r="EO95" s="84"/>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row>
    <row r="96" spans="1:174" s="244" customFormat="1" ht="13.5" customHeight="1" x14ac:dyDescent="0.2">
      <c r="A96" s="100">
        <v>569</v>
      </c>
      <c r="B96" s="434">
        <v>576</v>
      </c>
      <c r="C96" s="31" t="s">
        <v>387</v>
      </c>
      <c r="D96" s="31" t="s">
        <v>134</v>
      </c>
      <c r="E96" s="37" t="s">
        <v>472</v>
      </c>
      <c r="F96" s="31" t="s">
        <v>380</v>
      </c>
      <c r="G96" s="60" t="s">
        <v>271</v>
      </c>
      <c r="H96" s="508" t="s">
        <v>359</v>
      </c>
      <c r="I96" s="60" t="s">
        <v>343</v>
      </c>
      <c r="J96" s="508" t="s">
        <v>359</v>
      </c>
      <c r="K96" s="37">
        <v>1972</v>
      </c>
      <c r="L96" s="157" t="s">
        <v>451</v>
      </c>
      <c r="M96" s="526" t="s">
        <v>455</v>
      </c>
      <c r="N96" s="163"/>
      <c r="O96" s="509" t="s">
        <v>93</v>
      </c>
      <c r="P96" s="37" t="s">
        <v>244</v>
      </c>
      <c r="Q96" s="296" t="s">
        <v>248</v>
      </c>
      <c r="R96" s="37" t="s">
        <v>582</v>
      </c>
      <c r="S96" s="37" t="s">
        <v>115</v>
      </c>
      <c r="T96" s="35" t="s">
        <v>94</v>
      </c>
      <c r="U96" s="36" t="s">
        <v>205</v>
      </c>
      <c r="V96" s="537" t="s">
        <v>424</v>
      </c>
      <c r="W96" s="295" t="s">
        <v>430</v>
      </c>
      <c r="X96" s="298" t="s">
        <v>426</v>
      </c>
      <c r="Y96" s="317" t="s">
        <v>430</v>
      </c>
      <c r="Z96" s="317" t="s">
        <v>426</v>
      </c>
      <c r="AA96" s="48" t="s">
        <v>410</v>
      </c>
      <c r="AB96" s="139">
        <v>8</v>
      </c>
      <c r="AC96" s="407" t="s">
        <v>359</v>
      </c>
      <c r="AD96" s="39">
        <v>9</v>
      </c>
      <c r="AE96" s="40">
        <v>4.6500000000000004</v>
      </c>
      <c r="AF96" s="329"/>
      <c r="AG96" s="329"/>
      <c r="AH96" s="396" t="s">
        <v>341</v>
      </c>
      <c r="AI96" s="445" t="s">
        <v>359</v>
      </c>
      <c r="AJ96" s="102" t="s">
        <v>345</v>
      </c>
      <c r="AK96" s="405" t="s">
        <v>359</v>
      </c>
      <c r="AL96" s="406">
        <v>2017</v>
      </c>
      <c r="AM96" s="126"/>
      <c r="AN96" s="49"/>
      <c r="AO96" s="41">
        <v>9</v>
      </c>
      <c r="AP96" s="401" t="s">
        <v>359</v>
      </c>
      <c r="AQ96" s="80">
        <v>9</v>
      </c>
      <c r="AR96" s="43">
        <v>4.9800000000000004</v>
      </c>
      <c r="AS96" s="333"/>
      <c r="AT96" s="44" t="s">
        <v>341</v>
      </c>
      <c r="AU96" s="404" t="s">
        <v>359</v>
      </c>
      <c r="AV96" s="45" t="s">
        <v>345</v>
      </c>
      <c r="AW96" s="395" t="s">
        <v>359</v>
      </c>
      <c r="AX96" s="123">
        <v>2020</v>
      </c>
      <c r="AY96" s="123"/>
      <c r="AZ96" s="388"/>
      <c r="BA96" s="392"/>
      <c r="BB96" s="47">
        <v>3</v>
      </c>
      <c r="BC96" s="253">
        <v>1</v>
      </c>
      <c r="BD96" s="205">
        <v>2.34</v>
      </c>
      <c r="BE96" s="205">
        <v>0.33</v>
      </c>
      <c r="BF96" s="53" t="s">
        <v>411</v>
      </c>
      <c r="BG96" s="54">
        <v>26</v>
      </c>
      <c r="BH96" s="343" t="s">
        <v>332</v>
      </c>
      <c r="BI96" s="56" t="s">
        <v>341</v>
      </c>
      <c r="BJ96" s="1430" t="s">
        <v>359</v>
      </c>
      <c r="BK96" s="341" t="s">
        <v>348</v>
      </c>
      <c r="BL96" s="400" t="s">
        <v>359</v>
      </c>
      <c r="BM96" s="178">
        <v>2019</v>
      </c>
      <c r="BN96" s="126"/>
      <c r="BO96" s="58"/>
      <c r="BP96" s="55">
        <v>27</v>
      </c>
      <c r="BQ96" s="346" t="s">
        <v>332</v>
      </c>
      <c r="BR96" s="56" t="s">
        <v>341</v>
      </c>
      <c r="BS96" s="395" t="s">
        <v>359</v>
      </c>
      <c r="BT96" s="339" t="s">
        <v>348</v>
      </c>
      <c r="BU96" s="395" t="s">
        <v>359</v>
      </c>
      <c r="BV96" s="46">
        <v>2020</v>
      </c>
      <c r="BW96" s="57"/>
      <c r="BX96" s="125"/>
      <c r="BY96" s="254">
        <v>0</v>
      </c>
      <c r="BZ96" s="53" t="s">
        <v>205</v>
      </c>
      <c r="CA96" s="316" t="s">
        <v>589</v>
      </c>
      <c r="CB96" s="59" t="s">
        <v>360</v>
      </c>
      <c r="CC96" s="38" t="s">
        <v>263</v>
      </c>
      <c r="CD96" s="48">
        <v>68</v>
      </c>
      <c r="CE96" s="31" t="s">
        <v>105</v>
      </c>
      <c r="CF96" s="31"/>
      <c r="CG96" s="303"/>
      <c r="CH96" s="31"/>
      <c r="CI96" s="105"/>
      <c r="CJ96" s="31" t="s">
        <v>205</v>
      </c>
      <c r="CK96" s="51" t="s">
        <v>205</v>
      </c>
      <c r="CL96" s="61"/>
      <c r="CM96" s="62"/>
      <c r="CN96" s="61"/>
      <c r="CO96" s="76"/>
      <c r="CP96" s="51" t="s">
        <v>205</v>
      </c>
      <c r="CQ96" s="61"/>
      <c r="CR96" s="62"/>
      <c r="CS96" s="61"/>
      <c r="CT96" s="76"/>
      <c r="CU96" s="65" t="s">
        <v>105</v>
      </c>
      <c r="CV96" s="66" t="s">
        <v>45</v>
      </c>
      <c r="CW96" s="63">
        <v>6</v>
      </c>
      <c r="CX96" s="64">
        <v>2027</v>
      </c>
      <c r="CY96" s="63">
        <v>3</v>
      </c>
      <c r="CZ96" s="64">
        <v>2027</v>
      </c>
      <c r="DA96" s="63">
        <v>12</v>
      </c>
      <c r="DB96" s="64">
        <v>2026</v>
      </c>
      <c r="DC96" s="67" t="s">
        <v>205</v>
      </c>
      <c r="DD96" s="68" t="s">
        <v>195</v>
      </c>
      <c r="DE96" s="68"/>
      <c r="DF96" s="48">
        <v>660</v>
      </c>
      <c r="DG96" s="48">
        <v>559</v>
      </c>
      <c r="DH96" s="48">
        <v>42</v>
      </c>
      <c r="DI96" s="48" t="s">
        <v>406</v>
      </c>
      <c r="DJ96" s="48"/>
      <c r="DK96" s="48"/>
      <c r="DL96" s="53" t="s">
        <v>207</v>
      </c>
      <c r="DM96" s="61" t="s">
        <v>197</v>
      </c>
      <c r="DN96" s="32">
        <v>2012</v>
      </c>
      <c r="DO96" s="31" t="s">
        <v>261</v>
      </c>
      <c r="DP96" s="69">
        <v>6</v>
      </c>
      <c r="DQ96" s="32">
        <v>2013</v>
      </c>
      <c r="DR96" s="76"/>
      <c r="DS96" s="77"/>
      <c r="DT96" s="78"/>
      <c r="DU96" s="71"/>
      <c r="DV96" s="84"/>
      <c r="DW96" s="33" t="s">
        <v>470</v>
      </c>
      <c r="DX96" s="315" t="s">
        <v>115</v>
      </c>
      <c r="DY96" s="33" t="s">
        <v>125</v>
      </c>
      <c r="DZ96" s="148" t="s">
        <v>341</v>
      </c>
      <c r="EA96" s="45" t="s">
        <v>359</v>
      </c>
      <c r="EB96" s="143" t="s">
        <v>348</v>
      </c>
      <c r="EC96" s="45" t="s">
        <v>359</v>
      </c>
      <c r="ED96" s="72">
        <v>2012</v>
      </c>
      <c r="EE96" s="45">
        <v>0</v>
      </c>
      <c r="EF96" s="73" t="s">
        <v>205</v>
      </c>
      <c r="EG96" s="148" t="s">
        <v>341</v>
      </c>
      <c r="EH96" s="45" t="s">
        <v>359</v>
      </c>
      <c r="EI96" s="143" t="s">
        <v>348</v>
      </c>
      <c r="EJ96" s="45" t="s">
        <v>359</v>
      </c>
      <c r="EK96" s="72">
        <v>2012</v>
      </c>
      <c r="EL96" s="31"/>
      <c r="EM96" s="51" t="s">
        <v>205</v>
      </c>
      <c r="EN96" s="74" t="s">
        <v>105</v>
      </c>
      <c r="EO96" s="84"/>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row>
    <row r="97" spans="1:174" s="171" customFormat="1" ht="11.25" customHeight="1" x14ac:dyDescent="0.2">
      <c r="A97" s="100">
        <v>658</v>
      </c>
      <c r="B97" s="434">
        <v>5</v>
      </c>
      <c r="C97" s="197"/>
      <c r="D97" s="197" t="s">
        <v>134</v>
      </c>
      <c r="E97" s="245" t="s">
        <v>72</v>
      </c>
      <c r="F97" s="197" t="s">
        <v>380</v>
      </c>
      <c r="G97" s="511" t="s">
        <v>11</v>
      </c>
      <c r="H97" s="512" t="s">
        <v>359</v>
      </c>
      <c r="I97" s="511" t="s">
        <v>348</v>
      </c>
      <c r="J97" s="512" t="s">
        <v>359</v>
      </c>
      <c r="K97" s="198" t="s">
        <v>334</v>
      </c>
      <c r="L97" s="209" t="s">
        <v>451</v>
      </c>
      <c r="M97" s="202" t="s">
        <v>455</v>
      </c>
      <c r="N97" s="415"/>
      <c r="O97" s="513" t="e">
        <v>#N/A</v>
      </c>
      <c r="P97" s="198"/>
      <c r="Q97" s="320" t="e">
        <v>#N/A</v>
      </c>
      <c r="R97" s="238" t="s">
        <v>571</v>
      </c>
      <c r="S97" s="198" t="s">
        <v>566</v>
      </c>
      <c r="T97" s="200" t="s">
        <v>94</v>
      </c>
      <c r="U97" s="201" t="s">
        <v>205</v>
      </c>
      <c r="V97" s="225" t="s">
        <v>424</v>
      </c>
      <c r="W97" s="322" t="s">
        <v>430</v>
      </c>
      <c r="X97" s="225" t="s">
        <v>426</v>
      </c>
      <c r="Y97" s="327" t="s">
        <v>430</v>
      </c>
      <c r="Z97" s="323" t="s">
        <v>426</v>
      </c>
      <c r="AA97" s="202" t="s">
        <v>410</v>
      </c>
      <c r="AB97" s="203">
        <v>4</v>
      </c>
      <c r="AC97" s="408" t="s">
        <v>359</v>
      </c>
      <c r="AD97" s="204">
        <v>9</v>
      </c>
      <c r="AE97" s="205">
        <v>3.33</v>
      </c>
      <c r="AF97" s="382"/>
      <c r="AG97" s="382"/>
      <c r="AH97" s="416" t="s">
        <v>341</v>
      </c>
      <c r="AI97" s="405" t="s">
        <v>359</v>
      </c>
      <c r="AJ97" s="207" t="s">
        <v>348</v>
      </c>
      <c r="AK97" s="405" t="s">
        <v>359</v>
      </c>
      <c r="AL97" s="417">
        <v>2015</v>
      </c>
      <c r="AM97" s="216">
        <v>4</v>
      </c>
      <c r="AN97" s="217" t="s">
        <v>617</v>
      </c>
      <c r="AO97" s="206">
        <v>5</v>
      </c>
      <c r="AP97" s="402" t="s">
        <v>359</v>
      </c>
      <c r="AQ97" s="208">
        <v>9</v>
      </c>
      <c r="AR97" s="209">
        <v>3.66</v>
      </c>
      <c r="AS97" s="334"/>
      <c r="AT97" s="210" t="s">
        <v>341</v>
      </c>
      <c r="AU97" s="426" t="s">
        <v>359</v>
      </c>
      <c r="AV97" s="212" t="s">
        <v>348</v>
      </c>
      <c r="AW97" s="399" t="s">
        <v>359</v>
      </c>
      <c r="AX97" s="439">
        <v>2018</v>
      </c>
      <c r="AY97" s="439"/>
      <c r="AZ97" s="565"/>
      <c r="BA97" s="393"/>
      <c r="BB97" s="215">
        <v>3</v>
      </c>
      <c r="BC97" s="324">
        <v>20</v>
      </c>
      <c r="BD97" s="205">
        <v>2.34</v>
      </c>
      <c r="BE97" s="205">
        <v>0.33</v>
      </c>
      <c r="BF97" s="218" t="s">
        <v>411</v>
      </c>
      <c r="BG97" s="219">
        <v>13</v>
      </c>
      <c r="BH97" s="344" t="s">
        <v>332</v>
      </c>
      <c r="BI97" s="418" t="s">
        <v>341</v>
      </c>
      <c r="BJ97" s="1433" t="s">
        <v>359</v>
      </c>
      <c r="BK97" s="340">
        <v>9</v>
      </c>
      <c r="BL97" s="399" t="s">
        <v>359</v>
      </c>
      <c r="BM97" s="213">
        <v>2019</v>
      </c>
      <c r="BN97" s="216"/>
      <c r="BO97" s="222"/>
      <c r="BP97" s="220">
        <v>14</v>
      </c>
      <c r="BQ97" s="419" t="s">
        <v>332</v>
      </c>
      <c r="BR97" s="418" t="s">
        <v>341</v>
      </c>
      <c r="BS97" s="399" t="s">
        <v>359</v>
      </c>
      <c r="BT97" s="340">
        <v>9</v>
      </c>
      <c r="BU97" s="399" t="s">
        <v>359</v>
      </c>
      <c r="BV97" s="46">
        <v>2020</v>
      </c>
      <c r="BW97" s="221"/>
      <c r="BX97" s="214"/>
      <c r="BY97" s="325">
        <v>0</v>
      </c>
      <c r="BZ97" s="218" t="s">
        <v>205</v>
      </c>
      <c r="CA97" s="198" t="s">
        <v>590</v>
      </c>
      <c r="CB97" s="223" t="s">
        <v>360</v>
      </c>
      <c r="CC97" s="224" t="s">
        <v>263</v>
      </c>
      <c r="CD97" s="202">
        <v>49</v>
      </c>
      <c r="CE97" s="197" t="s">
        <v>105</v>
      </c>
      <c r="CF97" s="197"/>
      <c r="CG97" s="309"/>
      <c r="CH97" s="197"/>
      <c r="CI97" s="326"/>
      <c r="CJ97" s="197" t="s">
        <v>205</v>
      </c>
      <c r="CK97" s="226" t="s">
        <v>205</v>
      </c>
      <c r="CL97" s="227"/>
      <c r="CM97" s="228"/>
      <c r="CN97" s="227"/>
      <c r="CO97" s="229"/>
      <c r="CP97" s="226" t="s">
        <v>205</v>
      </c>
      <c r="CQ97" s="227"/>
      <c r="CR97" s="228"/>
      <c r="CS97" s="227"/>
      <c r="CT97" s="229"/>
      <c r="CU97" s="230" t="s">
        <v>105</v>
      </c>
      <c r="CV97" s="231" t="s">
        <v>45</v>
      </c>
      <c r="CW97" s="232">
        <v>10</v>
      </c>
      <c r="CX97" s="233">
        <v>2038</v>
      </c>
      <c r="CY97" s="232">
        <v>7</v>
      </c>
      <c r="CZ97" s="233">
        <v>2038</v>
      </c>
      <c r="DA97" s="232">
        <v>4</v>
      </c>
      <c r="DB97" s="233">
        <v>2038</v>
      </c>
      <c r="DC97" s="234" t="s">
        <v>205</v>
      </c>
      <c r="DD97" s="235" t="s">
        <v>195</v>
      </c>
      <c r="DE97" s="235"/>
      <c r="DF97" s="202">
        <v>660</v>
      </c>
      <c r="DG97" s="202">
        <v>423</v>
      </c>
      <c r="DH97" s="202">
        <v>31</v>
      </c>
      <c r="DI97" s="202" t="s">
        <v>403</v>
      </c>
      <c r="DJ97" s="202"/>
      <c r="DK97" s="202"/>
      <c r="DL97" s="218" t="s">
        <v>207</v>
      </c>
      <c r="DM97" s="227" t="s">
        <v>197</v>
      </c>
      <c r="DN97" s="199">
        <v>2012</v>
      </c>
      <c r="DO97" s="197"/>
      <c r="DP97" s="236"/>
      <c r="DQ97" s="199"/>
      <c r="DR97" s="229"/>
      <c r="DS97" s="237"/>
      <c r="DT97" s="238"/>
      <c r="DU97" s="239"/>
      <c r="DV97" s="243"/>
      <c r="DW97" s="246" t="s">
        <v>71</v>
      </c>
      <c r="DX97" s="321" t="s">
        <v>416</v>
      </c>
      <c r="DY97" s="246" t="s">
        <v>71</v>
      </c>
      <c r="DZ97" s="431" t="s">
        <v>341</v>
      </c>
      <c r="EA97" s="212" t="s">
        <v>359</v>
      </c>
      <c r="EB97" s="211" t="s">
        <v>348</v>
      </c>
      <c r="EC97" s="212" t="s">
        <v>359</v>
      </c>
      <c r="ED97" s="240">
        <v>2012</v>
      </c>
      <c r="EE97" s="212">
        <v>0</v>
      </c>
      <c r="EF97" s="241" t="s">
        <v>205</v>
      </c>
      <c r="EG97" s="431" t="s">
        <v>341</v>
      </c>
      <c r="EH97" s="212" t="s">
        <v>359</v>
      </c>
      <c r="EI97" s="211" t="s">
        <v>348</v>
      </c>
      <c r="EJ97" s="212" t="s">
        <v>359</v>
      </c>
      <c r="EK97" s="240">
        <v>2012</v>
      </c>
      <c r="EL97" s="197"/>
      <c r="EM97" s="226" t="s">
        <v>205</v>
      </c>
      <c r="EN97" s="242" t="s">
        <v>105</v>
      </c>
      <c r="EO97" s="243"/>
      <c r="EP97" s="244"/>
      <c r="EQ97" s="244"/>
      <c r="ER97" s="244"/>
      <c r="ES97" s="244"/>
      <c r="ET97" s="244"/>
      <c r="EU97" s="244"/>
      <c r="EV97" s="244"/>
      <c r="EW97" s="244"/>
      <c r="EX97" s="244"/>
      <c r="EY97" s="244"/>
      <c r="EZ97" s="244"/>
      <c r="FA97" s="244"/>
      <c r="FB97" s="244"/>
      <c r="FC97" s="244"/>
      <c r="FD97" s="244"/>
      <c r="FE97" s="244"/>
      <c r="FF97" s="244"/>
      <c r="FG97" s="244"/>
      <c r="FH97" s="244"/>
      <c r="FI97" s="244"/>
      <c r="FJ97" s="244"/>
      <c r="FK97" s="244"/>
      <c r="FL97" s="244"/>
      <c r="FM97" s="244"/>
      <c r="FN97" s="244"/>
      <c r="FO97" s="244"/>
      <c r="FP97" s="244"/>
      <c r="FQ97" s="244"/>
      <c r="FR97" s="244"/>
    </row>
    <row r="98" spans="1:174" s="171" customFormat="1" ht="11.25" customHeight="1" x14ac:dyDescent="0.2">
      <c r="A98" s="100">
        <v>675</v>
      </c>
      <c r="B98" s="434">
        <v>14</v>
      </c>
      <c r="C98" s="31"/>
      <c r="D98" s="31" t="s">
        <v>134</v>
      </c>
      <c r="E98" s="37" t="s">
        <v>5</v>
      </c>
      <c r="F98" s="31" t="s">
        <v>380</v>
      </c>
      <c r="G98" s="60" t="s">
        <v>267</v>
      </c>
      <c r="H98" s="508" t="s">
        <v>359</v>
      </c>
      <c r="I98" s="60" t="s">
        <v>376</v>
      </c>
      <c r="J98" s="508" t="s">
        <v>359</v>
      </c>
      <c r="K98" s="37" t="s">
        <v>307</v>
      </c>
      <c r="L98" s="157" t="s">
        <v>451</v>
      </c>
      <c r="M98" s="526" t="s">
        <v>455</v>
      </c>
      <c r="N98" s="163"/>
      <c r="O98" s="509" t="s">
        <v>93</v>
      </c>
      <c r="P98" s="37" t="s">
        <v>604</v>
      </c>
      <c r="Q98" s="296" t="s">
        <v>248</v>
      </c>
      <c r="R98" s="37" t="s">
        <v>6</v>
      </c>
      <c r="S98" s="190" t="s">
        <v>566</v>
      </c>
      <c r="T98" s="35" t="s">
        <v>94</v>
      </c>
      <c r="U98" s="36" t="s">
        <v>205</v>
      </c>
      <c r="V98" s="537" t="s">
        <v>424</v>
      </c>
      <c r="W98" s="295" t="s">
        <v>430</v>
      </c>
      <c r="X98" s="298" t="s">
        <v>426</v>
      </c>
      <c r="Y98" s="317" t="s">
        <v>430</v>
      </c>
      <c r="Z98" s="317" t="s">
        <v>426</v>
      </c>
      <c r="AA98" s="48" t="s">
        <v>410</v>
      </c>
      <c r="AB98" s="139">
        <v>5</v>
      </c>
      <c r="AC98" s="407" t="s">
        <v>359</v>
      </c>
      <c r="AD98" s="39">
        <v>9</v>
      </c>
      <c r="AE98" s="40">
        <v>3.66</v>
      </c>
      <c r="AF98" s="329"/>
      <c r="AG98" s="329"/>
      <c r="AH98" s="396" t="s">
        <v>341</v>
      </c>
      <c r="AI98" s="405" t="s">
        <v>359</v>
      </c>
      <c r="AJ98" s="102" t="s">
        <v>376</v>
      </c>
      <c r="AK98" s="405" t="s">
        <v>359</v>
      </c>
      <c r="AL98" s="406">
        <v>2015</v>
      </c>
      <c r="AM98" s="126"/>
      <c r="AN98" s="49"/>
      <c r="AO98" s="41">
        <v>6</v>
      </c>
      <c r="AP98" s="401" t="s">
        <v>359</v>
      </c>
      <c r="AQ98" s="80">
        <v>9</v>
      </c>
      <c r="AR98" s="43">
        <v>3.99</v>
      </c>
      <c r="AS98" s="333"/>
      <c r="AT98" s="44" t="s">
        <v>341</v>
      </c>
      <c r="AU98" s="404" t="s">
        <v>359</v>
      </c>
      <c r="AV98" s="45" t="s">
        <v>376</v>
      </c>
      <c r="AW98" s="395" t="s">
        <v>359</v>
      </c>
      <c r="AX98" s="123">
        <v>2018</v>
      </c>
      <c r="AY98" s="123"/>
      <c r="AZ98" s="388" t="s">
        <v>601</v>
      </c>
      <c r="BA98" s="392">
        <v>4.18</v>
      </c>
      <c r="BB98" s="47">
        <v>3</v>
      </c>
      <c r="BC98" s="253">
        <v>29</v>
      </c>
      <c r="BD98" s="205">
        <v>2.34</v>
      </c>
      <c r="BE98" s="205">
        <v>0.33</v>
      </c>
      <c r="BF98" s="53" t="s">
        <v>411</v>
      </c>
      <c r="BG98" s="54">
        <v>13</v>
      </c>
      <c r="BH98" s="343" t="s">
        <v>332</v>
      </c>
      <c r="BI98" s="56" t="s">
        <v>341</v>
      </c>
      <c r="BJ98" s="1430" t="s">
        <v>359</v>
      </c>
      <c r="BK98" s="341">
        <v>9</v>
      </c>
      <c r="BL98" s="400" t="s">
        <v>359</v>
      </c>
      <c r="BM98" s="178">
        <v>2019</v>
      </c>
      <c r="BN98" s="126"/>
      <c r="BO98" s="58"/>
      <c r="BP98" s="55">
        <v>14</v>
      </c>
      <c r="BQ98" s="346" t="s">
        <v>332</v>
      </c>
      <c r="BR98" s="56" t="s">
        <v>341</v>
      </c>
      <c r="BS98" s="395" t="s">
        <v>359</v>
      </c>
      <c r="BT98" s="339">
        <v>9</v>
      </c>
      <c r="BU98" s="395" t="s">
        <v>359</v>
      </c>
      <c r="BV98" s="46">
        <v>2020</v>
      </c>
      <c r="BW98" s="57"/>
      <c r="BX98" s="125"/>
      <c r="BY98" s="254">
        <v>0</v>
      </c>
      <c r="BZ98" s="53" t="s">
        <v>205</v>
      </c>
      <c r="CA98" s="316" t="s">
        <v>590</v>
      </c>
      <c r="CB98" s="59" t="s">
        <v>360</v>
      </c>
      <c r="CC98" s="38" t="s">
        <v>263</v>
      </c>
      <c r="CD98" s="48">
        <v>40</v>
      </c>
      <c r="CE98" s="31" t="s">
        <v>105</v>
      </c>
      <c r="CF98" s="31"/>
      <c r="CG98" s="303"/>
      <c r="CH98" s="31"/>
      <c r="CI98" s="105"/>
      <c r="CJ98" s="31" t="s">
        <v>205</v>
      </c>
      <c r="CK98" s="51" t="s">
        <v>205</v>
      </c>
      <c r="CL98" s="61"/>
      <c r="CM98" s="62"/>
      <c r="CN98" s="61"/>
      <c r="CO98" s="76"/>
      <c r="CP98" s="51" t="s">
        <v>205</v>
      </c>
      <c r="CQ98" s="61"/>
      <c r="CR98" s="62"/>
      <c r="CS98" s="61"/>
      <c r="CT98" s="76"/>
      <c r="CU98" s="65" t="s">
        <v>105</v>
      </c>
      <c r="CV98" s="66" t="s">
        <v>45</v>
      </c>
      <c r="CW98" s="63">
        <v>5</v>
      </c>
      <c r="CX98" s="64">
        <v>2035</v>
      </c>
      <c r="CY98" s="63">
        <v>2</v>
      </c>
      <c r="CZ98" s="64">
        <v>2035</v>
      </c>
      <c r="DA98" s="63">
        <v>11</v>
      </c>
      <c r="DB98" s="64">
        <v>2034</v>
      </c>
      <c r="DC98" s="67" t="s">
        <v>205</v>
      </c>
      <c r="DD98" s="68" t="s">
        <v>195</v>
      </c>
      <c r="DE98" s="68"/>
      <c r="DF98" s="48">
        <v>660</v>
      </c>
      <c r="DG98" s="48">
        <v>464</v>
      </c>
      <c r="DH98" s="48">
        <v>34</v>
      </c>
      <c r="DI98" s="48" t="s">
        <v>403</v>
      </c>
      <c r="DJ98" s="48"/>
      <c r="DK98" s="48"/>
      <c r="DL98" s="53" t="s">
        <v>207</v>
      </c>
      <c r="DM98" s="61" t="s">
        <v>208</v>
      </c>
      <c r="DN98" s="32"/>
      <c r="DO98" s="31"/>
      <c r="DP98" s="69"/>
      <c r="DQ98" s="32"/>
      <c r="DR98" s="76"/>
      <c r="DS98" s="77"/>
      <c r="DT98" s="78"/>
      <c r="DU98" s="71" t="s">
        <v>409</v>
      </c>
      <c r="DV98" s="84" t="s">
        <v>265</v>
      </c>
      <c r="DW98" s="33" t="s">
        <v>6</v>
      </c>
      <c r="DX98" s="315" t="s">
        <v>416</v>
      </c>
      <c r="DY98" s="33" t="s">
        <v>6</v>
      </c>
      <c r="DZ98" s="148" t="s">
        <v>341</v>
      </c>
      <c r="EA98" s="45" t="s">
        <v>359</v>
      </c>
      <c r="EB98" s="143" t="s">
        <v>376</v>
      </c>
      <c r="EC98" s="45" t="s">
        <v>359</v>
      </c>
      <c r="ED98" s="72">
        <v>2012</v>
      </c>
      <c r="EE98" s="45">
        <v>0</v>
      </c>
      <c r="EF98" s="73" t="s">
        <v>205</v>
      </c>
      <c r="EG98" s="148" t="s">
        <v>341</v>
      </c>
      <c r="EH98" s="45" t="s">
        <v>359</v>
      </c>
      <c r="EI98" s="143" t="s">
        <v>376</v>
      </c>
      <c r="EJ98" s="45" t="s">
        <v>359</v>
      </c>
      <c r="EK98" s="72">
        <v>2012</v>
      </c>
      <c r="EL98" s="31"/>
      <c r="EM98" s="51" t="s">
        <v>205</v>
      </c>
      <c r="EN98" s="74" t="s">
        <v>105</v>
      </c>
      <c r="EO98" s="84"/>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row>
    <row r="99" spans="1:174" s="171" customFormat="1" ht="11.25" customHeight="1" x14ac:dyDescent="0.2">
      <c r="A99" s="100">
        <v>681</v>
      </c>
      <c r="B99" s="434">
        <v>20</v>
      </c>
      <c r="C99" s="31"/>
      <c r="D99" s="31" t="s">
        <v>134</v>
      </c>
      <c r="E99" s="37" t="s">
        <v>335</v>
      </c>
      <c r="F99" s="31" t="s">
        <v>380</v>
      </c>
      <c r="G99" s="60" t="s">
        <v>373</v>
      </c>
      <c r="H99" s="508" t="s">
        <v>359</v>
      </c>
      <c r="I99" s="60" t="s">
        <v>371</v>
      </c>
      <c r="J99" s="508" t="s">
        <v>359</v>
      </c>
      <c r="K99" s="37">
        <v>1976</v>
      </c>
      <c r="L99" s="157" t="s">
        <v>451</v>
      </c>
      <c r="M99" s="526" t="s">
        <v>455</v>
      </c>
      <c r="N99" s="163"/>
      <c r="O99" s="509" t="e">
        <v>#N/A</v>
      </c>
      <c r="P99" s="37"/>
      <c r="Q99" s="296" t="e">
        <v>#N/A</v>
      </c>
      <c r="R99" s="37" t="s">
        <v>640</v>
      </c>
      <c r="S99" s="190" t="s">
        <v>566</v>
      </c>
      <c r="T99" s="35" t="s">
        <v>94</v>
      </c>
      <c r="U99" s="36" t="s">
        <v>205</v>
      </c>
      <c r="V99" s="537" t="s">
        <v>424</v>
      </c>
      <c r="W99" s="295" t="s">
        <v>430</v>
      </c>
      <c r="X99" s="298" t="s">
        <v>426</v>
      </c>
      <c r="Y99" s="317" t="s">
        <v>430</v>
      </c>
      <c r="Z99" s="317" t="s">
        <v>426</v>
      </c>
      <c r="AA99" s="48" t="s">
        <v>410</v>
      </c>
      <c r="AB99" s="139">
        <v>5</v>
      </c>
      <c r="AC99" s="407" t="s">
        <v>359</v>
      </c>
      <c r="AD99" s="39">
        <v>9</v>
      </c>
      <c r="AE99" s="40">
        <v>3.66</v>
      </c>
      <c r="AF99" s="329"/>
      <c r="AG99" s="329"/>
      <c r="AH99" s="396" t="s">
        <v>341</v>
      </c>
      <c r="AI99" s="405" t="s">
        <v>359</v>
      </c>
      <c r="AJ99" s="102" t="s">
        <v>348</v>
      </c>
      <c r="AK99" s="405" t="s">
        <v>359</v>
      </c>
      <c r="AL99" s="406">
        <v>2015</v>
      </c>
      <c r="AM99" s="126"/>
      <c r="AN99" s="49"/>
      <c r="AO99" s="41">
        <v>6</v>
      </c>
      <c r="AP99" s="401" t="s">
        <v>359</v>
      </c>
      <c r="AQ99" s="80">
        <v>9</v>
      </c>
      <c r="AR99" s="43">
        <v>3.99</v>
      </c>
      <c r="AS99" s="333"/>
      <c r="AT99" s="44" t="s">
        <v>341</v>
      </c>
      <c r="AU99" s="404" t="s">
        <v>359</v>
      </c>
      <c r="AV99" s="45" t="s">
        <v>348</v>
      </c>
      <c r="AW99" s="395" t="s">
        <v>359</v>
      </c>
      <c r="AX99" s="123">
        <v>2018</v>
      </c>
      <c r="AY99" s="123"/>
      <c r="AZ99" s="388"/>
      <c r="BA99" s="392"/>
      <c r="BB99" s="47">
        <v>3</v>
      </c>
      <c r="BC99" s="253">
        <v>24</v>
      </c>
      <c r="BD99" s="205">
        <v>2.34</v>
      </c>
      <c r="BE99" s="205">
        <v>0.33</v>
      </c>
      <c r="BF99" s="53" t="s">
        <v>411</v>
      </c>
      <c r="BG99" s="54">
        <v>16</v>
      </c>
      <c r="BH99" s="343" t="s">
        <v>332</v>
      </c>
      <c r="BI99" s="56" t="s">
        <v>341</v>
      </c>
      <c r="BJ99" s="1430" t="s">
        <v>359</v>
      </c>
      <c r="BK99" s="341">
        <v>9</v>
      </c>
      <c r="BL99" s="400" t="s">
        <v>359</v>
      </c>
      <c r="BM99" s="178">
        <v>2019</v>
      </c>
      <c r="BN99" s="126"/>
      <c r="BO99" s="58"/>
      <c r="BP99" s="55">
        <v>17</v>
      </c>
      <c r="BQ99" s="346" t="s">
        <v>332</v>
      </c>
      <c r="BR99" s="56" t="s">
        <v>341</v>
      </c>
      <c r="BS99" s="395" t="s">
        <v>359</v>
      </c>
      <c r="BT99" s="339">
        <v>9</v>
      </c>
      <c r="BU99" s="395" t="s">
        <v>359</v>
      </c>
      <c r="BV99" s="46">
        <v>2020</v>
      </c>
      <c r="BW99" s="57"/>
      <c r="BX99" s="125"/>
      <c r="BY99" s="254">
        <v>0</v>
      </c>
      <c r="BZ99" s="53" t="s">
        <v>205</v>
      </c>
      <c r="CA99" s="316" t="s">
        <v>590</v>
      </c>
      <c r="CB99" s="59" t="s">
        <v>360</v>
      </c>
      <c r="CC99" s="38" t="s">
        <v>263</v>
      </c>
      <c r="CD99" s="48">
        <v>45</v>
      </c>
      <c r="CE99" s="31" t="s">
        <v>105</v>
      </c>
      <c r="CF99" s="31"/>
      <c r="CG99" s="303"/>
      <c r="CH99" s="31"/>
      <c r="CI99" s="105"/>
      <c r="CJ99" s="31" t="s">
        <v>205</v>
      </c>
      <c r="CK99" s="51" t="s">
        <v>205</v>
      </c>
      <c r="CL99" s="61"/>
      <c r="CM99" s="62"/>
      <c r="CN99" s="61"/>
      <c r="CO99" s="76"/>
      <c r="CP99" s="51" t="s">
        <v>261</v>
      </c>
      <c r="CQ99" s="61">
        <v>6</v>
      </c>
      <c r="CR99" s="62">
        <v>2013</v>
      </c>
      <c r="CS99" s="61"/>
      <c r="CT99" s="76"/>
      <c r="CU99" s="65" t="s">
        <v>105</v>
      </c>
      <c r="CV99" s="66" t="s">
        <v>45</v>
      </c>
      <c r="CW99" s="63">
        <v>12</v>
      </c>
      <c r="CX99" s="64">
        <v>2031</v>
      </c>
      <c r="CY99" s="63">
        <v>9</v>
      </c>
      <c r="CZ99" s="64">
        <v>2031</v>
      </c>
      <c r="DA99" s="63">
        <v>6</v>
      </c>
      <c r="DB99" s="64">
        <v>2031</v>
      </c>
      <c r="DC99" s="67" t="s">
        <v>205</v>
      </c>
      <c r="DD99" s="68" t="s">
        <v>195</v>
      </c>
      <c r="DE99" s="68"/>
      <c r="DF99" s="48">
        <v>660</v>
      </c>
      <c r="DG99" s="48">
        <v>505</v>
      </c>
      <c r="DH99" s="48">
        <v>38</v>
      </c>
      <c r="DI99" s="48" t="s">
        <v>403</v>
      </c>
      <c r="DJ99" s="48"/>
      <c r="DK99" s="48"/>
      <c r="DL99" s="53" t="s">
        <v>207</v>
      </c>
      <c r="DM99" s="61" t="s">
        <v>208</v>
      </c>
      <c r="DN99" s="32"/>
      <c r="DO99" s="31" t="s">
        <v>261</v>
      </c>
      <c r="DP99" s="69">
        <v>6</v>
      </c>
      <c r="DQ99" s="32">
        <v>2013</v>
      </c>
      <c r="DR99" s="76"/>
      <c r="DS99" s="77"/>
      <c r="DT99" s="78"/>
      <c r="DU99" s="71"/>
      <c r="DV99" s="84"/>
      <c r="DW99" s="33" t="s">
        <v>64</v>
      </c>
      <c r="DX99" s="315" t="s">
        <v>416</v>
      </c>
      <c r="DY99" s="33" t="s">
        <v>64</v>
      </c>
      <c r="DZ99" s="148" t="s">
        <v>341</v>
      </c>
      <c r="EA99" s="45" t="s">
        <v>359</v>
      </c>
      <c r="EB99" s="143" t="s">
        <v>341</v>
      </c>
      <c r="EC99" s="45" t="s">
        <v>359</v>
      </c>
      <c r="ED99" s="72" t="s">
        <v>377</v>
      </c>
      <c r="EE99" s="45">
        <v>0</v>
      </c>
      <c r="EF99" s="73" t="s">
        <v>205</v>
      </c>
      <c r="EG99" s="148" t="s">
        <v>341</v>
      </c>
      <c r="EH99" s="45" t="s">
        <v>359</v>
      </c>
      <c r="EI99" s="143" t="s">
        <v>341</v>
      </c>
      <c r="EJ99" s="45" t="s">
        <v>359</v>
      </c>
      <c r="EK99" s="72" t="s">
        <v>377</v>
      </c>
      <c r="EL99" s="31"/>
      <c r="EM99" s="51" t="s">
        <v>205</v>
      </c>
      <c r="EN99" s="74" t="s">
        <v>105</v>
      </c>
      <c r="EO99" s="84"/>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row>
    <row r="100" spans="1:174" s="171" customFormat="1" ht="16.5" customHeight="1" x14ac:dyDescent="0.2">
      <c r="A100" s="100">
        <v>704</v>
      </c>
      <c r="B100" s="434">
        <v>46</v>
      </c>
      <c r="C100" s="31"/>
      <c r="D100" s="31" t="s">
        <v>134</v>
      </c>
      <c r="E100" s="37" t="s">
        <v>75</v>
      </c>
      <c r="F100" s="31" t="s">
        <v>380</v>
      </c>
      <c r="G100" s="60" t="s">
        <v>282</v>
      </c>
      <c r="H100" s="508" t="s">
        <v>359</v>
      </c>
      <c r="I100" s="60" t="s">
        <v>349</v>
      </c>
      <c r="J100" s="508" t="s">
        <v>359</v>
      </c>
      <c r="K100" s="37">
        <v>1970</v>
      </c>
      <c r="L100" s="157" t="s">
        <v>451</v>
      </c>
      <c r="M100" s="526" t="s">
        <v>455</v>
      </c>
      <c r="N100" s="163"/>
      <c r="O100" s="509" t="s">
        <v>93</v>
      </c>
      <c r="P100" s="37" t="s">
        <v>250</v>
      </c>
      <c r="Q100" s="296" t="s">
        <v>248</v>
      </c>
      <c r="R100" s="37" t="s">
        <v>581</v>
      </c>
      <c r="S100" s="190" t="s">
        <v>566</v>
      </c>
      <c r="T100" s="35" t="s">
        <v>296</v>
      </c>
      <c r="U100" s="36" t="s">
        <v>297</v>
      </c>
      <c r="V100" s="537" t="s">
        <v>424</v>
      </c>
      <c r="W100" s="295" t="s">
        <v>431</v>
      </c>
      <c r="X100" s="298" t="s">
        <v>428</v>
      </c>
      <c r="Y100" s="317" t="s">
        <v>431</v>
      </c>
      <c r="Z100" s="317" t="s">
        <v>428</v>
      </c>
      <c r="AA100" s="48" t="s">
        <v>410</v>
      </c>
      <c r="AB100" s="139">
        <v>3</v>
      </c>
      <c r="AC100" s="407" t="s">
        <v>359</v>
      </c>
      <c r="AD100" s="39">
        <v>8</v>
      </c>
      <c r="AE100" s="40">
        <v>5.08</v>
      </c>
      <c r="AF100" s="329"/>
      <c r="AG100" s="329"/>
      <c r="AH100" s="396"/>
      <c r="AI100" s="405" t="s">
        <v>359</v>
      </c>
      <c r="AJ100" s="102"/>
      <c r="AK100" s="405" t="s">
        <v>359</v>
      </c>
      <c r="AL100" s="406"/>
      <c r="AM100" s="126"/>
      <c r="AN100" s="49"/>
      <c r="AO100" s="41">
        <v>4</v>
      </c>
      <c r="AP100" s="401" t="s">
        <v>359</v>
      </c>
      <c r="AQ100" s="80">
        <v>8</v>
      </c>
      <c r="AR100" s="43">
        <v>5.42</v>
      </c>
      <c r="AS100" s="333"/>
      <c r="AT100" s="44" t="s">
        <v>341</v>
      </c>
      <c r="AU100" s="404" t="s">
        <v>359</v>
      </c>
      <c r="AV100" s="45" t="s">
        <v>348</v>
      </c>
      <c r="AW100" s="395" t="s">
        <v>359</v>
      </c>
      <c r="AX100" s="123">
        <v>2018</v>
      </c>
      <c r="AY100" s="123"/>
      <c r="AZ100" s="388" t="s">
        <v>597</v>
      </c>
      <c r="BA100" s="392"/>
      <c r="BB100" s="47">
        <v>3</v>
      </c>
      <c r="BC100" s="253">
        <v>24</v>
      </c>
      <c r="BD100" s="205">
        <v>4.4000000000000004</v>
      </c>
      <c r="BE100" s="205">
        <v>0.34</v>
      </c>
      <c r="BF100" s="53" t="s">
        <v>411</v>
      </c>
      <c r="BG100" s="54">
        <v>19</v>
      </c>
      <c r="BH100" s="343" t="s">
        <v>332</v>
      </c>
      <c r="BI100" s="56" t="s">
        <v>341</v>
      </c>
      <c r="BJ100" s="1430" t="s">
        <v>359</v>
      </c>
      <c r="BK100" s="341">
        <v>9</v>
      </c>
      <c r="BL100" s="400" t="s">
        <v>359</v>
      </c>
      <c r="BM100" s="178">
        <v>2019</v>
      </c>
      <c r="BN100" s="126"/>
      <c r="BO100" s="58"/>
      <c r="BP100" s="55">
        <v>20</v>
      </c>
      <c r="BQ100" s="346" t="s">
        <v>332</v>
      </c>
      <c r="BR100" s="56" t="s">
        <v>341</v>
      </c>
      <c r="BS100" s="395" t="s">
        <v>359</v>
      </c>
      <c r="BT100" s="339">
        <v>9</v>
      </c>
      <c r="BU100" s="395" t="s">
        <v>359</v>
      </c>
      <c r="BV100" s="46">
        <v>2020</v>
      </c>
      <c r="BW100" s="57"/>
      <c r="BX100" s="125"/>
      <c r="BY100" s="254">
        <v>0</v>
      </c>
      <c r="BZ100" s="53" t="s">
        <v>205</v>
      </c>
      <c r="CA100" s="316" t="s">
        <v>590</v>
      </c>
      <c r="CB100" s="59" t="s">
        <v>360</v>
      </c>
      <c r="CC100" s="38" t="s">
        <v>263</v>
      </c>
      <c r="CD100" s="48">
        <v>45</v>
      </c>
      <c r="CE100" s="31" t="s">
        <v>298</v>
      </c>
      <c r="CF100" s="31">
        <v>2013</v>
      </c>
      <c r="CG100" s="303" t="s">
        <v>428</v>
      </c>
      <c r="CH100" s="31"/>
      <c r="CI100" s="105"/>
      <c r="CJ100" s="31" t="s">
        <v>264</v>
      </c>
      <c r="CK100" s="51" t="s">
        <v>227</v>
      </c>
      <c r="CL100" s="61">
        <v>1</v>
      </c>
      <c r="CM100" s="62" t="s">
        <v>362</v>
      </c>
      <c r="CN100" s="61"/>
      <c r="CO100" s="76"/>
      <c r="CP100" s="51" t="s">
        <v>205</v>
      </c>
      <c r="CQ100" s="61"/>
      <c r="CR100" s="62"/>
      <c r="CS100" s="61"/>
      <c r="CT100" s="76"/>
      <c r="CU100" s="65" t="s">
        <v>105</v>
      </c>
      <c r="CV100" s="66" t="s">
        <v>45</v>
      </c>
      <c r="CW100" s="63">
        <v>1</v>
      </c>
      <c r="CX100" s="64">
        <v>2026</v>
      </c>
      <c r="CY100" s="63">
        <v>10</v>
      </c>
      <c r="CZ100" s="64">
        <v>2025</v>
      </c>
      <c r="DA100" s="63">
        <v>7</v>
      </c>
      <c r="DB100" s="64">
        <v>2025</v>
      </c>
      <c r="DC100" s="67" t="s">
        <v>205</v>
      </c>
      <c r="DD100" s="68" t="s">
        <v>195</v>
      </c>
      <c r="DE100" s="68"/>
      <c r="DF100" s="48">
        <v>660</v>
      </c>
      <c r="DG100" s="48">
        <v>576</v>
      </c>
      <c r="DH100" s="48">
        <v>44</v>
      </c>
      <c r="DI100" s="48" t="s">
        <v>406</v>
      </c>
      <c r="DJ100" s="48"/>
      <c r="DK100" s="48"/>
      <c r="DL100" s="53" t="s">
        <v>207</v>
      </c>
      <c r="DM100" s="61" t="s">
        <v>208</v>
      </c>
      <c r="DN100" s="32"/>
      <c r="DO100" s="31"/>
      <c r="DP100" s="69"/>
      <c r="DQ100" s="32"/>
      <c r="DR100" s="76"/>
      <c r="DS100" s="77"/>
      <c r="DT100" s="78"/>
      <c r="DU100" s="71"/>
      <c r="DV100" s="84"/>
      <c r="DW100" s="33" t="s">
        <v>76</v>
      </c>
      <c r="DX100" s="315" t="s">
        <v>416</v>
      </c>
      <c r="DY100" s="33" t="s">
        <v>76</v>
      </c>
      <c r="DZ100" s="148" t="s">
        <v>341</v>
      </c>
      <c r="EA100" s="45" t="s">
        <v>359</v>
      </c>
      <c r="EB100" s="143">
        <v>6</v>
      </c>
      <c r="EC100" s="45" t="s">
        <v>359</v>
      </c>
      <c r="ED100" s="72">
        <v>2013</v>
      </c>
      <c r="EE100" s="45">
        <v>0</v>
      </c>
      <c r="EF100" s="73" t="s">
        <v>205</v>
      </c>
      <c r="EG100" s="148" t="s">
        <v>341</v>
      </c>
      <c r="EH100" s="45" t="s">
        <v>359</v>
      </c>
      <c r="EI100" s="143">
        <v>6</v>
      </c>
      <c r="EJ100" s="45" t="s">
        <v>359</v>
      </c>
      <c r="EK100" s="72">
        <v>2013</v>
      </c>
      <c r="EL100" s="31">
        <v>3.66</v>
      </c>
      <c r="EM100" s="51" t="s">
        <v>205</v>
      </c>
      <c r="EN100" s="74" t="s">
        <v>105</v>
      </c>
      <c r="EO100" s="84"/>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row>
    <row r="101" spans="1:174" s="244" customFormat="1" ht="11.25" customHeight="1" x14ac:dyDescent="0.25">
      <c r="A101" s="100">
        <v>739</v>
      </c>
      <c r="B101" s="434">
        <v>97</v>
      </c>
      <c r="C101" s="197"/>
      <c r="D101" s="197" t="s">
        <v>134</v>
      </c>
      <c r="E101" s="245" t="s">
        <v>84</v>
      </c>
      <c r="F101" s="197" t="s">
        <v>380</v>
      </c>
      <c r="G101" s="511" t="s">
        <v>268</v>
      </c>
      <c r="H101" s="512" t="s">
        <v>359</v>
      </c>
      <c r="I101" s="511" t="s">
        <v>349</v>
      </c>
      <c r="J101" s="512" t="s">
        <v>359</v>
      </c>
      <c r="K101" s="198">
        <v>1968</v>
      </c>
      <c r="L101" s="198" t="s">
        <v>451</v>
      </c>
      <c r="M101" s="198" t="s">
        <v>455</v>
      </c>
      <c r="N101" s="198"/>
      <c r="O101" s="198" t="s">
        <v>93</v>
      </c>
      <c r="P101" s="198" t="s">
        <v>249</v>
      </c>
      <c r="Q101" s="198" t="s">
        <v>247</v>
      </c>
      <c r="R101" s="198" t="s">
        <v>336</v>
      </c>
      <c r="S101" s="198" t="s">
        <v>566</v>
      </c>
      <c r="T101" s="200" t="s">
        <v>256</v>
      </c>
      <c r="U101" s="201" t="s">
        <v>95</v>
      </c>
      <c r="V101" s="308" t="s">
        <v>424</v>
      </c>
      <c r="W101" s="322" t="s">
        <v>429</v>
      </c>
      <c r="X101" s="225" t="s">
        <v>427</v>
      </c>
      <c r="Y101" s="318" t="s">
        <v>429</v>
      </c>
      <c r="Z101" s="323" t="s">
        <v>427</v>
      </c>
      <c r="AA101" s="202" t="s">
        <v>410</v>
      </c>
      <c r="AB101" s="203">
        <v>0</v>
      </c>
      <c r="AC101" s="408" t="s">
        <v>359</v>
      </c>
      <c r="AD101" s="204">
        <v>6</v>
      </c>
      <c r="AE101" s="205">
        <v>5.84</v>
      </c>
      <c r="AF101" s="382"/>
      <c r="AG101" s="382"/>
      <c r="AH101" s="416"/>
      <c r="AI101" s="405" t="s">
        <v>359</v>
      </c>
      <c r="AJ101" s="207"/>
      <c r="AK101" s="405" t="s">
        <v>359</v>
      </c>
      <c r="AL101" s="417"/>
      <c r="AM101" s="216"/>
      <c r="AN101" s="217"/>
      <c r="AO101" s="206">
        <v>1</v>
      </c>
      <c r="AP101" s="402" t="s">
        <v>359</v>
      </c>
      <c r="AQ101" s="208">
        <v>6</v>
      </c>
      <c r="AR101" s="209">
        <v>6.2</v>
      </c>
      <c r="AS101" s="334"/>
      <c r="AT101" s="210" t="s">
        <v>341</v>
      </c>
      <c r="AU101" s="399" t="s">
        <v>359</v>
      </c>
      <c r="AV101" s="212" t="s">
        <v>11</v>
      </c>
      <c r="AW101" s="399" t="s">
        <v>359</v>
      </c>
      <c r="AX101" s="439">
        <v>2018</v>
      </c>
      <c r="AY101" s="243"/>
      <c r="AZ101" s="384"/>
      <c r="BA101" s="393"/>
      <c r="BB101" s="215">
        <v>3</v>
      </c>
      <c r="BC101" s="324">
        <v>27</v>
      </c>
      <c r="BD101" s="205">
        <v>6.2</v>
      </c>
      <c r="BE101" s="205">
        <v>0.36</v>
      </c>
      <c r="BF101" s="218" t="s">
        <v>411</v>
      </c>
      <c r="BG101" s="219">
        <v>22</v>
      </c>
      <c r="BH101" s="344" t="s">
        <v>332</v>
      </c>
      <c r="BI101" s="418" t="s">
        <v>341</v>
      </c>
      <c r="BJ101" s="1433" t="s">
        <v>359</v>
      </c>
      <c r="BK101" s="340">
        <v>9</v>
      </c>
      <c r="BL101" s="399" t="s">
        <v>359</v>
      </c>
      <c r="BM101" s="213">
        <v>2019</v>
      </c>
      <c r="BN101" s="216"/>
      <c r="BO101" s="222"/>
      <c r="BP101" s="220">
        <v>23</v>
      </c>
      <c r="BQ101" s="419" t="s">
        <v>332</v>
      </c>
      <c r="BR101" s="418" t="s">
        <v>341</v>
      </c>
      <c r="BS101" s="399" t="s">
        <v>359</v>
      </c>
      <c r="BT101" s="340">
        <v>9</v>
      </c>
      <c r="BU101" s="399" t="s">
        <v>359</v>
      </c>
      <c r="BV101" s="213">
        <v>2020</v>
      </c>
      <c r="BW101" s="221"/>
      <c r="BX101" s="214"/>
      <c r="BY101" s="325">
        <v>0</v>
      </c>
      <c r="BZ101" s="218" t="s">
        <v>205</v>
      </c>
      <c r="CA101" s="198" t="s">
        <v>590</v>
      </c>
      <c r="CB101" s="223" t="s">
        <v>360</v>
      </c>
      <c r="CC101" s="224" t="s">
        <v>263</v>
      </c>
      <c r="CD101" s="202">
        <v>42</v>
      </c>
      <c r="CE101" s="197" t="s">
        <v>105</v>
      </c>
      <c r="CF101" s="197"/>
      <c r="CG101" s="314"/>
      <c r="CH101" s="197"/>
      <c r="CI101" s="326"/>
      <c r="CJ101" s="197" t="s">
        <v>205</v>
      </c>
      <c r="CK101" s="226" t="s">
        <v>227</v>
      </c>
      <c r="CL101" s="227">
        <v>2</v>
      </c>
      <c r="CM101" s="228">
        <v>2018</v>
      </c>
      <c r="CN101" s="227"/>
      <c r="CO101" s="229">
        <v>2012</v>
      </c>
      <c r="CP101" s="226" t="s">
        <v>205</v>
      </c>
      <c r="CQ101" s="227"/>
      <c r="CR101" s="199"/>
      <c r="CS101" s="227"/>
      <c r="CT101" s="229"/>
      <c r="CU101" s="230" t="s">
        <v>105</v>
      </c>
      <c r="CV101" s="231" t="s">
        <v>45</v>
      </c>
      <c r="CW101" s="232">
        <v>1</v>
      </c>
      <c r="CX101" s="233">
        <v>2024</v>
      </c>
      <c r="CY101" s="232">
        <v>10</v>
      </c>
      <c r="CZ101" s="233">
        <v>2023</v>
      </c>
      <c r="DA101" s="232">
        <v>7</v>
      </c>
      <c r="DB101" s="233">
        <v>2023</v>
      </c>
      <c r="DC101" s="234" t="s">
        <v>205</v>
      </c>
      <c r="DD101" s="235" t="s">
        <v>195</v>
      </c>
      <c r="DE101" s="235"/>
      <c r="DF101" s="202">
        <v>660</v>
      </c>
      <c r="DG101" s="202">
        <v>600</v>
      </c>
      <c r="DH101" s="202">
        <v>46</v>
      </c>
      <c r="DI101" s="202" t="s">
        <v>406</v>
      </c>
      <c r="DJ101" s="202"/>
      <c r="DK101" s="202"/>
      <c r="DL101" s="218" t="s">
        <v>209</v>
      </c>
      <c r="DM101" s="227" t="s">
        <v>208</v>
      </c>
      <c r="DN101" s="199"/>
      <c r="DO101" s="197"/>
      <c r="DP101" s="236"/>
      <c r="DQ101" s="199"/>
      <c r="DR101" s="229"/>
      <c r="DS101" s="237"/>
      <c r="DT101" s="238"/>
      <c r="DU101" s="239"/>
      <c r="DV101" s="243"/>
      <c r="DW101" s="246" t="s">
        <v>136</v>
      </c>
      <c r="DX101" s="321" t="s">
        <v>416</v>
      </c>
      <c r="DY101" s="246" t="s">
        <v>136</v>
      </c>
      <c r="DZ101" s="210" t="s">
        <v>341</v>
      </c>
      <c r="EA101" s="212" t="s">
        <v>359</v>
      </c>
      <c r="EB101" s="212" t="s">
        <v>347</v>
      </c>
      <c r="EC101" s="212" t="s">
        <v>359</v>
      </c>
      <c r="ED101" s="240">
        <v>2012</v>
      </c>
      <c r="EE101" s="212">
        <v>0</v>
      </c>
      <c r="EF101" s="241" t="s">
        <v>205</v>
      </c>
      <c r="EG101" s="210" t="s">
        <v>341</v>
      </c>
      <c r="EH101" s="212" t="s">
        <v>359</v>
      </c>
      <c r="EI101" s="212" t="s">
        <v>347</v>
      </c>
      <c r="EJ101" s="212" t="s">
        <v>359</v>
      </c>
      <c r="EK101" s="240">
        <v>2012</v>
      </c>
      <c r="EL101" s="197">
        <v>3.66</v>
      </c>
      <c r="EM101" s="226">
        <v>1.8599999999999999</v>
      </c>
      <c r="EN101" s="242" t="s">
        <v>105</v>
      </c>
      <c r="EO101" s="243"/>
    </row>
    <row r="102" spans="1:174" s="75" customFormat="1" ht="11.25" customHeight="1" x14ac:dyDescent="0.2">
      <c r="A102" s="100">
        <v>757</v>
      </c>
      <c r="B102" s="296">
        <v>51</v>
      </c>
      <c r="C102" s="31"/>
      <c r="D102" s="31" t="s">
        <v>134</v>
      </c>
      <c r="E102" s="37" t="s">
        <v>290</v>
      </c>
      <c r="F102" s="31" t="s">
        <v>380</v>
      </c>
      <c r="G102" s="60" t="s">
        <v>274</v>
      </c>
      <c r="H102" s="508" t="s">
        <v>359</v>
      </c>
      <c r="I102" s="60">
        <v>5</v>
      </c>
      <c r="J102" s="508" t="s">
        <v>359</v>
      </c>
      <c r="K102" s="37">
        <v>1979</v>
      </c>
      <c r="L102" s="157" t="s">
        <v>451</v>
      </c>
      <c r="M102" s="526" t="s">
        <v>455</v>
      </c>
      <c r="N102" s="163"/>
      <c r="O102" s="509" t="s">
        <v>93</v>
      </c>
      <c r="P102" s="37" t="s">
        <v>250</v>
      </c>
      <c r="Q102" s="296" t="s">
        <v>248</v>
      </c>
      <c r="R102" s="138" t="s">
        <v>572</v>
      </c>
      <c r="S102" s="521" t="s">
        <v>566</v>
      </c>
      <c r="T102" s="35" t="s">
        <v>94</v>
      </c>
      <c r="U102" s="36" t="s">
        <v>205</v>
      </c>
      <c r="V102" s="537" t="s">
        <v>424</v>
      </c>
      <c r="W102" s="295" t="s">
        <v>430</v>
      </c>
      <c r="X102" s="298" t="s">
        <v>426</v>
      </c>
      <c r="Y102" s="317" t="s">
        <v>430</v>
      </c>
      <c r="Z102" s="317" t="s">
        <v>426</v>
      </c>
      <c r="AA102" s="48" t="s">
        <v>410</v>
      </c>
      <c r="AB102" s="139">
        <v>5</v>
      </c>
      <c r="AC102" s="407" t="s">
        <v>359</v>
      </c>
      <c r="AD102" s="39">
        <v>9</v>
      </c>
      <c r="AE102" s="40">
        <v>3.66</v>
      </c>
      <c r="AF102" s="329"/>
      <c r="AG102" s="329"/>
      <c r="AH102" s="396"/>
      <c r="AI102" s="405" t="s">
        <v>359</v>
      </c>
      <c r="AJ102" s="102"/>
      <c r="AK102" s="405" t="s">
        <v>359</v>
      </c>
      <c r="AL102" s="397"/>
      <c r="AM102" s="126"/>
      <c r="AN102" s="49"/>
      <c r="AO102" s="41">
        <v>6</v>
      </c>
      <c r="AP102" s="401" t="s">
        <v>359</v>
      </c>
      <c r="AQ102" s="80">
        <v>9</v>
      </c>
      <c r="AR102" s="43">
        <v>3.99</v>
      </c>
      <c r="AS102" s="333"/>
      <c r="AT102" s="44" t="s">
        <v>341</v>
      </c>
      <c r="AU102" s="404" t="s">
        <v>359</v>
      </c>
      <c r="AV102" s="45" t="s">
        <v>341</v>
      </c>
      <c r="AW102" s="395" t="s">
        <v>359</v>
      </c>
      <c r="AX102" s="123">
        <v>2018</v>
      </c>
      <c r="AY102" s="84"/>
      <c r="AZ102" s="383" t="s">
        <v>629</v>
      </c>
      <c r="BA102" s="392">
        <v>1.18</v>
      </c>
      <c r="BB102" s="47">
        <v>3</v>
      </c>
      <c r="BC102" s="253">
        <v>32</v>
      </c>
      <c r="BD102" s="205">
        <v>2.34</v>
      </c>
      <c r="BE102" s="205">
        <v>0.33</v>
      </c>
      <c r="BF102" s="53" t="s">
        <v>411</v>
      </c>
      <c r="BG102" s="54">
        <v>13</v>
      </c>
      <c r="BH102" s="343" t="s">
        <v>332</v>
      </c>
      <c r="BI102" s="56" t="s">
        <v>341</v>
      </c>
      <c r="BJ102" s="1430" t="s">
        <v>359</v>
      </c>
      <c r="BK102" s="341" t="s">
        <v>348</v>
      </c>
      <c r="BL102" s="400" t="s">
        <v>359</v>
      </c>
      <c r="BM102" s="178">
        <v>2019</v>
      </c>
      <c r="BN102" s="126"/>
      <c r="BO102" s="58"/>
      <c r="BP102" s="55">
        <v>14</v>
      </c>
      <c r="BQ102" s="346" t="s">
        <v>332</v>
      </c>
      <c r="BR102" s="56" t="s">
        <v>341</v>
      </c>
      <c r="BS102" s="395" t="s">
        <v>359</v>
      </c>
      <c r="BT102" s="339" t="s">
        <v>348</v>
      </c>
      <c r="BU102" s="395" t="s">
        <v>359</v>
      </c>
      <c r="BV102" s="46">
        <v>2020</v>
      </c>
      <c r="BW102" s="57"/>
      <c r="BX102" s="125"/>
      <c r="BY102" s="254">
        <v>0</v>
      </c>
      <c r="BZ102" s="53" t="s">
        <v>205</v>
      </c>
      <c r="CA102" s="316" t="s">
        <v>590</v>
      </c>
      <c r="CB102" s="59" t="s">
        <v>360</v>
      </c>
      <c r="CC102" s="38" t="s">
        <v>263</v>
      </c>
      <c r="CD102" s="48">
        <v>37</v>
      </c>
      <c r="CE102" s="31" t="s">
        <v>105</v>
      </c>
      <c r="CF102" s="31"/>
      <c r="CG102" s="303"/>
      <c r="CH102" s="31"/>
      <c r="CI102" s="105"/>
      <c r="CJ102" s="31" t="s">
        <v>205</v>
      </c>
      <c r="CK102" s="51" t="s">
        <v>205</v>
      </c>
      <c r="CL102" s="61"/>
      <c r="CM102" s="62"/>
      <c r="CN102" s="61"/>
      <c r="CO102" s="76"/>
      <c r="CP102" s="51" t="s">
        <v>261</v>
      </c>
      <c r="CQ102" s="61">
        <v>6</v>
      </c>
      <c r="CR102" s="62">
        <v>2013</v>
      </c>
      <c r="CS102" s="61"/>
      <c r="CT102" s="76"/>
      <c r="CU102" s="65" t="s">
        <v>105</v>
      </c>
      <c r="CV102" s="66" t="s">
        <v>45</v>
      </c>
      <c r="CW102" s="63">
        <v>6</v>
      </c>
      <c r="CX102" s="64">
        <v>2034</v>
      </c>
      <c r="CY102" s="63">
        <v>3</v>
      </c>
      <c r="CZ102" s="64">
        <v>2034</v>
      </c>
      <c r="DA102" s="63">
        <v>12</v>
      </c>
      <c r="DB102" s="64">
        <v>2033</v>
      </c>
      <c r="DC102" s="67" t="s">
        <v>205</v>
      </c>
      <c r="DD102" s="68" t="s">
        <v>195</v>
      </c>
      <c r="DE102" s="68"/>
      <c r="DF102" s="48">
        <v>660</v>
      </c>
      <c r="DG102" s="48">
        <v>475</v>
      </c>
      <c r="DH102" s="48">
        <v>35</v>
      </c>
      <c r="DI102" s="48" t="s">
        <v>403</v>
      </c>
      <c r="DJ102" s="48"/>
      <c r="DK102" s="48"/>
      <c r="DL102" s="53" t="s">
        <v>207</v>
      </c>
      <c r="DM102" s="61" t="s">
        <v>208</v>
      </c>
      <c r="DN102" s="32"/>
      <c r="DO102" s="31" t="s">
        <v>261</v>
      </c>
      <c r="DP102" s="69">
        <v>6</v>
      </c>
      <c r="DQ102" s="32">
        <v>2013</v>
      </c>
      <c r="DR102" s="76"/>
      <c r="DS102" s="77"/>
      <c r="DT102" s="78"/>
      <c r="DU102" s="71"/>
      <c r="DV102" s="84"/>
      <c r="DW102" s="99" t="s">
        <v>63</v>
      </c>
      <c r="DX102" s="315" t="s">
        <v>416</v>
      </c>
      <c r="DY102" s="33" t="s">
        <v>63</v>
      </c>
      <c r="DZ102" s="148" t="s">
        <v>341</v>
      </c>
      <c r="EA102" s="45" t="s">
        <v>359</v>
      </c>
      <c r="EB102" s="143" t="s">
        <v>348</v>
      </c>
      <c r="EC102" s="45" t="s">
        <v>359</v>
      </c>
      <c r="ED102" s="72">
        <v>2012</v>
      </c>
      <c r="EE102" s="45">
        <v>0</v>
      </c>
      <c r="EF102" s="73" t="s">
        <v>205</v>
      </c>
      <c r="EG102" s="148" t="s">
        <v>341</v>
      </c>
      <c r="EH102" s="45" t="s">
        <v>359</v>
      </c>
      <c r="EI102" s="143" t="s">
        <v>348</v>
      </c>
      <c r="EJ102" s="45" t="s">
        <v>359</v>
      </c>
      <c r="EK102" s="72">
        <v>2012</v>
      </c>
      <c r="EL102" s="31"/>
      <c r="EM102" s="51" t="s">
        <v>205</v>
      </c>
      <c r="EN102" s="74" t="s">
        <v>105</v>
      </c>
      <c r="EO102" s="84"/>
    </row>
    <row r="103" spans="1:174" s="171" customFormat="1" ht="11.25" customHeight="1" x14ac:dyDescent="0.2">
      <c r="A103" s="100">
        <v>670</v>
      </c>
      <c r="B103" s="296">
        <v>9</v>
      </c>
      <c r="C103" s="31"/>
      <c r="D103" s="31" t="str">
        <f t="shared" ref="D103:D108" si="90">IF(F103="Nam","Ông","Bà")</f>
        <v>Bà</v>
      </c>
      <c r="E103" s="37" t="s">
        <v>304</v>
      </c>
      <c r="F103" s="31" t="s">
        <v>380</v>
      </c>
      <c r="G103" s="60" t="s">
        <v>271</v>
      </c>
      <c r="H103" s="508" t="s">
        <v>359</v>
      </c>
      <c r="I103" s="60" t="s">
        <v>347</v>
      </c>
      <c r="J103" s="508" t="s">
        <v>359</v>
      </c>
      <c r="K103" s="37">
        <v>1977</v>
      </c>
      <c r="L103" s="157" t="s">
        <v>451</v>
      </c>
      <c r="M103" s="526" t="str">
        <f t="shared" ref="M103:M108" si="91">IF(L103="công chức","CC",IF(L103="viên chức","VC",IF(L103="người lao động","NLĐ","- - -")))</f>
        <v>VC</v>
      </c>
      <c r="N103" s="163"/>
      <c r="O103" s="509" t="e">
        <f t="shared" ref="O103:O108" si="92">IF(AND((Q103+0)&gt;0.3,(Q103+0)&lt;1.5),"CVụ","- -")</f>
        <v>#N/A</v>
      </c>
      <c r="P103" s="37"/>
      <c r="Q103" s="296" t="e">
        <f>VLOOKUP(P103,'[1]- DLiêu Gốc (Không sửa)'!$C$2:$H$116,2,0)</f>
        <v>#N/A</v>
      </c>
      <c r="R103" s="37" t="s">
        <v>6</v>
      </c>
      <c r="S103" s="521" t="s">
        <v>566</v>
      </c>
      <c r="T103" s="35" t="str">
        <f>VLOOKUP(Y103,'- DLiêu Gốc -'!$C$2:$H$60,5,0)</f>
        <v>A1</v>
      </c>
      <c r="U103" s="36" t="str">
        <f>VLOOKUP(Y103,'- DLiêu Gốc -'!$C$2:$H$60,6,0)</f>
        <v>- - -</v>
      </c>
      <c r="V103" s="537" t="s">
        <v>424</v>
      </c>
      <c r="W103" s="295" t="str">
        <f t="shared" ref="W103:W108" si="93">IF(OR(Y103="Kỹ thuật viên đánh máy",Y103="Nhân viên đánh máy",Y103="Nhân viên kỹ thuật",Y103="Nhân viên văn thư",Y103="Nhân viên phục vụ",Y103="Lái xe cơ quan",Y103="Nhân viên bảo vệ"),"Nhân viên",Y103)</f>
        <v>Giảng viên (hạng III)</v>
      </c>
      <c r="X103" s="298" t="str">
        <f t="shared" ref="X103:X108" si="94">IF(W103="Nhân viên","01.005",Z103)</f>
        <v>V.07.01.03</v>
      </c>
      <c r="Y103" s="317" t="s">
        <v>430</v>
      </c>
      <c r="Z103" s="317" t="str">
        <f>VLOOKUP(Y103,'- DLiêu Gốc -'!$C$1:$H$133,2,0)</f>
        <v>V.07.01.03</v>
      </c>
      <c r="AA103" s="48" t="str">
        <f t="shared" ref="AA103:AA108" si="95">IF(OR(AND(BC103=36,BB103=3),AND(BC103=24,BB103=2),AND(BC103=12,BB103=1)),"Đến $",IF(OR(AND(BC103&gt;36,BB103=3),AND(BC103&gt;24,BB103=2),AND(BC103&gt;12,BB103=1)),"Dừng $","Lương"))</f>
        <v>Lương</v>
      </c>
      <c r="AB103" s="139">
        <v>5</v>
      </c>
      <c r="AC103" s="407" t="str">
        <f>IF(AD103&gt;0,"/")</f>
        <v>/</v>
      </c>
      <c r="AD103" s="39">
        <f>IF(OR(BE103=0.18,BE103=0.2),12,IF(BE103=0.31,10,IF(BE103=0.33,9,IF(BE103=0.34,8,IF(BE103=0.36,6)))))</f>
        <v>9</v>
      </c>
      <c r="AE103" s="40">
        <f>BD103+(AB103-1)*BE103</f>
        <v>3.66</v>
      </c>
      <c r="AF103" s="329"/>
      <c r="AG103" s="329"/>
      <c r="AH103" s="396"/>
      <c r="AI103" s="405" t="s">
        <v>359</v>
      </c>
      <c r="AJ103" s="102"/>
      <c r="AK103" s="405" t="s">
        <v>359</v>
      </c>
      <c r="AL103" s="397"/>
      <c r="AM103" s="126"/>
      <c r="AN103" s="49"/>
      <c r="AO103" s="41">
        <f t="shared" ref="AO103:AO108" si="96">AB103+1</f>
        <v>6</v>
      </c>
      <c r="AP103" s="401" t="str">
        <f t="shared" ref="AP103:AP108" si="97">IF(AD103=AB103,"%",IF(AD103&gt;AB103,"/"))</f>
        <v>/</v>
      </c>
      <c r="AQ103" s="80">
        <f t="shared" ref="AQ103:AQ108" si="98">IF(AND(AD103=AB103,AO103=4),5,IF(AND(AD103=AB103,AO103&gt;4),AO103+1,IF(AD103&gt;AB103,AD103)))</f>
        <v>9</v>
      </c>
      <c r="AR103" s="43">
        <f t="shared" ref="AR103:AR108" si="99">IF(AD103=AB103,"%",IF(AD103&gt;AB103,AE103+BE103))</f>
        <v>3.99</v>
      </c>
      <c r="AS103" s="333"/>
      <c r="AT103" s="44" t="s">
        <v>341</v>
      </c>
      <c r="AU103" s="395" t="s">
        <v>359</v>
      </c>
      <c r="AV103" s="45" t="s">
        <v>341</v>
      </c>
      <c r="AW103" s="395" t="s">
        <v>359</v>
      </c>
      <c r="AX103" s="46">
        <v>2018</v>
      </c>
      <c r="AY103" s="84"/>
      <c r="AZ103" s="191"/>
      <c r="BA103" s="392">
        <v>1.18</v>
      </c>
      <c r="BB103" s="47">
        <f t="shared" ref="BB103:BB108" si="100">IF(AND(AD103&gt;AB103,OR(BE103=0.18,BE103=0.2)),2,IF(AND(AD103&gt;AB103,OR(BE103=0.31,BE103=0.33,BE103=0.34,BE103=0.36)),3,IF(AD103=AB103,1)))</f>
        <v>3</v>
      </c>
      <c r="BC103" s="253">
        <f t="shared" ref="BC103:BC108" si="101">12*($AA$2-AX103)+($AA$3-AV103)-AM103</f>
        <v>-24217</v>
      </c>
      <c r="BD103" s="205">
        <f>VLOOKUP(Y103,'- DLiêu Gốc -'!$C$1:$F$60,3,0)</f>
        <v>2.34</v>
      </c>
      <c r="BE103" s="205">
        <f>VLOOKUP(Y103,'- DLiêu Gốc -'!$C$1:$F$60,4,0)</f>
        <v>0.33</v>
      </c>
      <c r="BF103" s="53" t="str">
        <f t="shared" ref="BF103:BF108" si="102">IF(AND(BG103&gt;3,BY103=12),"Đến %",IF(AND(BG103&gt;3,BY103&gt;12,BY103&lt;120),"Dừng %",IF(AND(BG103&gt;3,BY103&lt;12),"PCTN","o-o-o")))</f>
        <v>PCTN</v>
      </c>
      <c r="BG103" s="54">
        <v>16</v>
      </c>
      <c r="BH103" s="343" t="s">
        <v>332</v>
      </c>
      <c r="BI103" s="56" t="s">
        <v>341</v>
      </c>
      <c r="BJ103" s="1430" t="s">
        <v>359</v>
      </c>
      <c r="BK103" s="341">
        <v>5</v>
      </c>
      <c r="BL103" s="400" t="s">
        <v>359</v>
      </c>
      <c r="BM103" s="178">
        <v>2019</v>
      </c>
      <c r="BN103" s="126"/>
      <c r="BO103" s="58"/>
      <c r="BP103" s="55">
        <f t="shared" ref="BP103:BP108" si="103">IF(BG103&gt;3,BG103+1,0)</f>
        <v>17</v>
      </c>
      <c r="BQ103" s="346" t="s">
        <v>332</v>
      </c>
      <c r="BR103" s="56" t="s">
        <v>341</v>
      </c>
      <c r="BS103" s="395" t="s">
        <v>359</v>
      </c>
      <c r="BT103" s="339">
        <v>5</v>
      </c>
      <c r="BU103" s="395" t="s">
        <v>359</v>
      </c>
      <c r="BV103" s="46">
        <v>2020</v>
      </c>
      <c r="BW103" s="57"/>
      <c r="BX103" s="125">
        <v>5</v>
      </c>
      <c r="BY103" s="254">
        <f t="shared" ref="BY103:BY108" si="104">IF(BG103&gt;3,(($BF$2-BV103)*12+($BF$3-BT103)-BN103),"- - -")</f>
        <v>-24245</v>
      </c>
      <c r="BZ103" s="53" t="str">
        <f t="shared" ref="BZ103:BZ108" si="105">IF(AND(CV103="Hưu",BG103&gt;3),12-(12*(DB103-BV103)+(DA103-BT103))-BN103,"- - -")</f>
        <v>- - -</v>
      </c>
      <c r="CA103" s="316" t="str">
        <f t="shared" ref="CA103:CA108" si="106">IF(OR(S103="Ban Tổ chức - Cán bộ",S103="Văn phòng Học viện",S103="Phó Giám đốc Thường trực Học viện",S103="Phó Giám đốc Học viện"),"Chánh Văn phòng Học viện, Trưởng Ban Tổ chức - Cán bộ",IF(OR(S103="Trung tâm Ngoại ngữ",S103="Trung tâm Tin học hành chính và Công nghệ thông tin",S103="Trung tâm Tin học - Thư viện",S103="Phân viện khu vực Tây Nguyên"),"Chánh Văn phòng Học viện, Trưởng Ban Tổ chức - Cán bộ, "&amp;CONCATENATE("Giám đốc ",S103),IF(S103="Tạp chí Quản lý nhà nước","Chánh Văn phòng Học viện, Trưởng Ban Tổ chức - Cán bộ, "&amp;CONCATENATE("Tổng Biên tập ",S103),IF(S103="Văn phòng Đảng uỷ Học viện","Chánh Văn phòng Học viện, Trưởng Ban Tổ chức - Cán bộ, "&amp;CONCATENATE("Chánh",S103),IF(S103="Viện Nghiên cứu Khoa học hành chính","Chánh Văn phòng Học viện, Trưởng Ban Tổ chức - Cán bộ, "&amp;CONCATENATE("Viện Trưởng ",S103),IF(OR(S103="Cơ sở Học viện Hành chính Quốc gia khu vực miền Trung",S103="Cơ sở Học viện Hành chính Quốc gia tại Thành phố Hồ Chí Minh"),"Chánh Văn phòng Học viện, Trưởng Ban Tổ chức - Cán bộ, "&amp;CONCATENATE("Thủ trưởng ",S103),"Chánh Văn phòng Học viện, Trưởng Ban Tổ chức - Cán bộ, "&amp;CONCATENATE("Trưởng ",S103)))))))</f>
        <v>Chánh Văn phòng Học viện, Trưởng Ban Tổ chức - Cán bộ, Trưởng Phân viện Học viện Hành chính Quốc gia tại Thành phố Hồ Chí Minh</v>
      </c>
      <c r="CB103" s="59" t="str">
        <f t="shared" ref="CB103:CB108" si="107">IF(S103="Cơ sở Học viện Hành chính khu vực miền Trung","B",IF(S103="Phân viện Khu vực Tây Nguyên","C",IF(S103="Cơ sở Học viện Hành chính tại thành phố Hồ Chí Minh","D","A")))</f>
        <v>A</v>
      </c>
      <c r="CC103" s="38" t="str">
        <f t="shared" ref="CC103:CC108" si="108">IF(AND(AO103&gt;0,AB103&lt;(AD103-1),CD103&gt;0,CD103&lt;13,OR(AND(CJ103="Cùg Ng",($CC$2-CF103)&gt;BB103),CJ103="- - -")),"Sớm TT","=&gt; s")</f>
        <v>=&gt; s</v>
      </c>
      <c r="CD103" s="48">
        <f t="shared" ref="CD103:CD108" si="109">IF(BB103=3,36-(12*($CC$2-AX103)+(12-AV103)-AM103),IF(BB103=2,24-(12*($CC$2-AX103)+(12-AV103)-AM103),"---"))</f>
        <v>24241</v>
      </c>
      <c r="CE103" s="31" t="str">
        <f t="shared" ref="CE103:CE108" si="110">IF(CF103&gt;1,"S","---")</f>
        <v>---</v>
      </c>
      <c r="CF103" s="31"/>
      <c r="CG103" s="303"/>
      <c r="CH103" s="31"/>
      <c r="CI103" s="105"/>
      <c r="CJ103" s="31" t="str">
        <f t="shared" ref="CJ103:CJ108" si="111">IF(X103=CG103,"Cùg Ng","- - -")</f>
        <v>- - -</v>
      </c>
      <c r="CK103" s="51" t="str">
        <f t="shared" ref="CK103:CK108" si="112">IF(CM103&gt;2000,"NN","- - -")</f>
        <v>- - -</v>
      </c>
      <c r="CL103" s="61"/>
      <c r="CM103" s="62"/>
      <c r="CN103" s="61"/>
      <c r="CO103" s="76"/>
      <c r="CP103" s="51" t="str">
        <f t="shared" ref="CP103:CP108" si="113">IF(CR103&gt;2000,"CN","- - -")</f>
        <v>- - -</v>
      </c>
      <c r="CQ103" s="61"/>
      <c r="CR103" s="62"/>
      <c r="CS103" s="61"/>
      <c r="CT103" s="76"/>
      <c r="CU103" s="65" t="str">
        <f t="shared" ref="CU103:CU108" si="114">IF(AND(CV103="Hưu",AB103&lt;(AD103-1),DC103&gt;0,DC103&lt;18,OR(BG103&lt;4,AND(BG103&gt;3,OR(BZ103&lt;3,BZ103&gt;5)))),"Lg Sớm",IF(AND(CV103="Hưu",AB103&gt;(AD103-2),OR(BE103=0.33,BE103=0.34),OR(BG103&lt;4,AND(BG103&gt;3,OR(BZ103&lt;3,BZ103&gt;5)))),"Nâng Ngạch",IF(AND(CV103="Hưu",BB103=1,DC103&gt;2,DC103&lt;6,OR(BG103&lt;4,AND(BG103&gt;3,OR(BZ103&lt;3,BZ103&gt;5)))),"Nâng PcVK cùng QĐ",IF(AND(CV103="Hưu",BG103&gt;3,BZ103&gt;2,BZ103&lt;6,AB103&lt;(AD103-1),DC103&gt;17,OR(BB103&gt;1,AND(BB103=1,OR(DC103&lt;3,DC103&gt;5)))),"Nâng PcNG cùng QĐ",IF(AND(CV103="Hưu",AB103&lt;(AD103-1),DC103&gt;0,DC103&lt;18,BG103&gt;3,BZ103&gt;2,BZ103&lt;6),"Nâng Lg Sớm +(PcNG cùng QĐ)",IF(AND(CV103="Hưu",AB103&gt;(AD103-2),OR(BE103=0.33,BE103=0.34),BG103&gt;3,BZ103&gt;2,BZ103&lt;6),"Nâng Ngạch +(PcNG cùng QĐ)",IF(AND(CV103="Hưu",BB103=1,DC103&gt;2,DC103&lt;6,BG103&gt;3,BZ103&gt;2,BZ103&lt;6),"Nâng (PcVK +PcNG) cùng QĐ",("---"))))))))</f>
        <v>---</v>
      </c>
      <c r="CV103" s="66" t="str">
        <f t="shared" ref="CV103:CV108" si="115">IF(AND(DG103&gt;DF103,DG103&lt;(DF103+13)),"Hưu",IF(AND(DG103&gt;(DF103+12),DG103&lt;1000),"Quá","/-/ /-/"))</f>
        <v>/-/ /-/</v>
      </c>
      <c r="CW103" s="63">
        <f t="shared" ref="CW103:CW108" si="116">IF((I103+0)&lt;12,(I103+0)+1,IF((I103+0)=12,1,IF((I103+0)&gt;12,(I103+0)-12)))</f>
        <v>8</v>
      </c>
      <c r="CX103" s="64">
        <f t="shared" ref="CX103:CX108" si="117">IF(OR((I103+0)=12,(I103+0)&gt;12),K103+DF103/12+1,IF(AND((I103+0)&gt;0,(I103+0)&lt;12),K103+DF103/12,"---"))</f>
        <v>2032</v>
      </c>
      <c r="CY103" s="63">
        <f t="shared" ref="CY103:CY108" si="118">IF(AND(CW103&gt;3,CW103&lt;13),CW103-3,IF(CW103&lt;4,CW103-3+12))</f>
        <v>5</v>
      </c>
      <c r="CZ103" s="64">
        <f t="shared" ref="CZ103:CZ108" si="119">IF(CY103&lt;CW103,CX103,IF(CY103&gt;CW103,CX103-1))</f>
        <v>2032</v>
      </c>
      <c r="DA103" s="63">
        <f t="shared" ref="DA103:DA108" si="120">IF(CW103&gt;6,CW103-6,IF(CW103=6,12,IF(CW103&lt;6,CW103+6)))</f>
        <v>2</v>
      </c>
      <c r="DB103" s="64">
        <f t="shared" ref="DB103:DB108" si="121">IF(CW103&gt;6,CX103,IF(CW103&lt;7,CX103-1))</f>
        <v>2032</v>
      </c>
      <c r="DC103" s="67" t="str">
        <f t="shared" ref="DC103:DC108" si="122">IF(AND(CV103="Hưu",BB103=3),36+AM103-(12*(DB103-AX103)+(DA103-AV103)),IF(AND(CV103="Hưu",BB103=2),24+AM103-(12*(DB103-AX103)+(DA103-AV103)),IF(AND(CV103="Hưu",BB103=1),12+AM103-(12*(DB103-AX103)+(DA103-AV103)),"- - -")))</f>
        <v>- - -</v>
      </c>
      <c r="DD103" s="68" t="str">
        <f t="shared" ref="DD103:DD108" si="123">IF(DE103&gt;0,"K.Dài",". .")</f>
        <v>. .</v>
      </c>
      <c r="DE103" s="68"/>
      <c r="DF103" s="48">
        <f t="shared" ref="DF103:DF108" si="124">IF(F103="Nam",(60+DE103)*12,IF(F103="Nữ",(55+DE103)*12,))</f>
        <v>660</v>
      </c>
      <c r="DG103" s="48">
        <f t="shared" ref="DG103:DG108" si="125">12*($CV$4-K103)+(12-I103)</f>
        <v>-23719</v>
      </c>
      <c r="DH103" s="48">
        <f t="shared" ref="DH103:DH108" si="126">$DL$4-K103</f>
        <v>-1977</v>
      </c>
      <c r="DI103" s="48" t="str">
        <f t="shared" ref="DI103:DI108" si="127">IF(AND(DH103&lt;35,F103="Nam"),"Nam dưới 35",IF(AND(DH103&lt;30,F103="Nữ"),"Nữ dưới 30",IF(AND(DH103&gt;34,DH103&lt;46,F103="Nam"),"Nam từ 35 - 45",IF(AND(DH103&gt;29,DH103&lt;41,F103="Nữ"),"Nữ từ 30 - 40",IF(AND(DH103&gt;45,DH103&lt;56,F103="Nam"),"Nam trên 45 - 55",IF(AND(DH103&gt;40,DH103&lt;51,F103="Nữ"),"Nữ trên 40 - 50",IF(AND(DH103&gt;55,F103="Nam"),"Nam trên 55","Nữ trên 50")))))))</f>
        <v>Nữ dưới 30</v>
      </c>
      <c r="DJ103" s="48"/>
      <c r="DK103" s="48"/>
      <c r="DL103" s="53" t="str">
        <f t="shared" ref="DL103:DL108" si="128">IF(DH103&lt;31,"Đến 30",IF(AND(DH103&gt;30,DH103&lt;46),"31 - 45",IF(AND(DH103&gt;45,DH103&lt;70),"Trên 45")))</f>
        <v>Đến 30</v>
      </c>
      <c r="DM103" s="61" t="str">
        <f t="shared" ref="DM103:DM108" si="129">IF(DN103&gt;0,"TD","--")</f>
        <v>TD</v>
      </c>
      <c r="DN103" s="32">
        <v>2012</v>
      </c>
      <c r="DO103" s="31"/>
      <c r="DP103" s="69"/>
      <c r="DQ103" s="32"/>
      <c r="DR103" s="76"/>
      <c r="DS103" s="77"/>
      <c r="DT103" s="78"/>
      <c r="DU103" s="71"/>
      <c r="DV103" s="84"/>
      <c r="DW103" s="33" t="s">
        <v>6</v>
      </c>
      <c r="DX103" s="315" t="s">
        <v>416</v>
      </c>
      <c r="DY103" s="33" t="s">
        <v>6</v>
      </c>
      <c r="DZ103" s="44" t="s">
        <v>341</v>
      </c>
      <c r="EA103" s="45" t="s">
        <v>359</v>
      </c>
      <c r="EB103" s="45" t="s">
        <v>341</v>
      </c>
      <c r="EC103" s="45" t="s">
        <v>359</v>
      </c>
      <c r="ED103" s="72" t="s">
        <v>377</v>
      </c>
      <c r="EE103" s="45">
        <f t="shared" ref="EE103:EE108" si="130">(DZ103+0)-(EG103+0)</f>
        <v>0</v>
      </c>
      <c r="EF103" s="73" t="str">
        <f t="shared" ref="EF103:EF108" si="131">IF(EE103&gt;0,"Sửa","- - -")</f>
        <v>- - -</v>
      </c>
      <c r="EG103" s="44" t="s">
        <v>341</v>
      </c>
      <c r="EH103" s="45" t="s">
        <v>359</v>
      </c>
      <c r="EI103" s="45" t="s">
        <v>341</v>
      </c>
      <c r="EJ103" s="45" t="s">
        <v>359</v>
      </c>
      <c r="EK103" s="72" t="s">
        <v>377</v>
      </c>
      <c r="EL103" s="31"/>
      <c r="EM103" s="51" t="str">
        <f t="shared" ref="EM103:EM108" si="132">IF(AND(BE103&gt;0.34,AO103=1,OR(BD103=6.2,BD103=5.75)),((BD103-EL103)-2*0.34),IF(AND(BE103&gt;0.33,AO103=1,OR(BD103=4.4,BD103=4)),((BD103-EL103)-2*0.33),"- - -"))</f>
        <v>- - -</v>
      </c>
      <c r="EN103" s="74" t="str">
        <f t="shared" ref="EN103:EN108" si="133">IF(CV103="Hưu",12*(DB103-AX103)+(DA103-AV103),"---")</f>
        <v>---</v>
      </c>
      <c r="EO103" s="84"/>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554"/>
      <c r="FO103" s="554"/>
      <c r="FP103" s="554"/>
      <c r="FQ103" s="554"/>
      <c r="FR103" s="554"/>
    </row>
    <row r="104" spans="1:174" s="75" customFormat="1" ht="11.25" customHeight="1" x14ac:dyDescent="0.2">
      <c r="A104" s="100">
        <v>676</v>
      </c>
      <c r="B104" s="296">
        <v>15</v>
      </c>
      <c r="C104" s="31"/>
      <c r="D104" s="31" t="str">
        <f t="shared" si="90"/>
        <v>Ông</v>
      </c>
      <c r="E104" s="37" t="s">
        <v>79</v>
      </c>
      <c r="F104" s="31" t="s">
        <v>378</v>
      </c>
      <c r="G104" s="60" t="s">
        <v>342</v>
      </c>
      <c r="H104" s="508" t="s">
        <v>359</v>
      </c>
      <c r="I104" s="60">
        <v>8</v>
      </c>
      <c r="J104" s="508" t="s">
        <v>359</v>
      </c>
      <c r="K104" s="37">
        <v>1963</v>
      </c>
      <c r="L104" s="157" t="s">
        <v>451</v>
      </c>
      <c r="M104" s="526" t="str">
        <f t="shared" si="91"/>
        <v>VC</v>
      </c>
      <c r="N104" s="163"/>
      <c r="O104" s="509" t="e">
        <f t="shared" si="92"/>
        <v>#N/A</v>
      </c>
      <c r="P104" s="37"/>
      <c r="Q104" s="296" t="e">
        <f>VLOOKUP(P104,'[1]- DLiêu Gốc (Không sửa)'!$C$2:$H$116,2,0)</f>
        <v>#N/A</v>
      </c>
      <c r="R104" s="37" t="s">
        <v>6</v>
      </c>
      <c r="S104" s="521" t="s">
        <v>566</v>
      </c>
      <c r="T104" s="35" t="str">
        <f>VLOOKUP(Y104,'- DLiêu Gốc -'!$C$2:$H$60,5,0)</f>
        <v>A1</v>
      </c>
      <c r="U104" s="36" t="str">
        <f>VLOOKUP(Y104,'- DLiêu Gốc -'!$C$2:$H$60,6,0)</f>
        <v>- - -</v>
      </c>
      <c r="V104" s="537" t="s">
        <v>424</v>
      </c>
      <c r="W104" s="295" t="str">
        <f t="shared" si="93"/>
        <v>Giảng viên (hạng III)</v>
      </c>
      <c r="X104" s="298" t="str">
        <f t="shared" si="94"/>
        <v>V.07.01.03</v>
      </c>
      <c r="Y104" s="317" t="s">
        <v>430</v>
      </c>
      <c r="Z104" s="317" t="str">
        <f>VLOOKUP(Y104,'- DLiêu Gốc -'!$C$1:$H$133,2,0)</f>
        <v>V.07.01.03</v>
      </c>
      <c r="AA104" s="48" t="str">
        <f t="shared" si="95"/>
        <v>Lương</v>
      </c>
      <c r="AB104" s="139">
        <v>6</v>
      </c>
      <c r="AC104" s="407" t="str">
        <f>IF(AD104&gt;0,"/")</f>
        <v>/</v>
      </c>
      <c r="AD104" s="39">
        <f>IF(OR(BE104=0.18,BE104=0.2),12,IF(BE104=0.31,10,IF(BE104=0.33,9,IF(BE104=0.34,8,IF(BE104=0.36,6)))))</f>
        <v>9</v>
      </c>
      <c r="AE104" s="40">
        <f>BD104+(AB104-1)*BE104</f>
        <v>3.99</v>
      </c>
      <c r="AF104" s="329"/>
      <c r="AG104" s="329"/>
      <c r="AH104" s="396"/>
      <c r="AI104" s="405" t="s">
        <v>359</v>
      </c>
      <c r="AJ104" s="102"/>
      <c r="AK104" s="405" t="s">
        <v>359</v>
      </c>
      <c r="AL104" s="397"/>
      <c r="AM104" s="126"/>
      <c r="AN104" s="49"/>
      <c r="AO104" s="41">
        <f t="shared" si="96"/>
        <v>7</v>
      </c>
      <c r="AP104" s="401" t="str">
        <f t="shared" si="97"/>
        <v>/</v>
      </c>
      <c r="AQ104" s="80">
        <f t="shared" si="98"/>
        <v>9</v>
      </c>
      <c r="AR104" s="43">
        <f t="shared" si="99"/>
        <v>4.32</v>
      </c>
      <c r="AS104" s="333"/>
      <c r="AT104" s="44" t="s">
        <v>341</v>
      </c>
      <c r="AU104" s="395" t="s">
        <v>359</v>
      </c>
      <c r="AV104" s="45" t="s">
        <v>345</v>
      </c>
      <c r="AW104" s="395" t="s">
        <v>359</v>
      </c>
      <c r="AX104" s="46">
        <v>2017</v>
      </c>
      <c r="AY104" s="84"/>
      <c r="AZ104" s="383"/>
      <c r="BA104" s="392"/>
      <c r="BB104" s="47">
        <f t="shared" si="100"/>
        <v>3</v>
      </c>
      <c r="BC104" s="253">
        <f t="shared" si="101"/>
        <v>-24212</v>
      </c>
      <c r="BD104" s="205">
        <f>VLOOKUP(Y104,'- DLiêu Gốc -'!$C$1:$F$60,3,0)</f>
        <v>2.34</v>
      </c>
      <c r="BE104" s="205">
        <f>VLOOKUP(Y104,'- DLiêu Gốc -'!$C$1:$F$60,4,0)</f>
        <v>0.33</v>
      </c>
      <c r="BF104" s="53" t="str">
        <f t="shared" si="102"/>
        <v>PCTN</v>
      </c>
      <c r="BG104" s="54">
        <v>16</v>
      </c>
      <c r="BH104" s="343" t="s">
        <v>332</v>
      </c>
      <c r="BI104" s="56" t="s">
        <v>341</v>
      </c>
      <c r="BJ104" s="1430" t="s">
        <v>359</v>
      </c>
      <c r="BK104" s="341">
        <v>5</v>
      </c>
      <c r="BL104" s="400" t="s">
        <v>359</v>
      </c>
      <c r="BM104" s="178">
        <v>2019</v>
      </c>
      <c r="BN104" s="126"/>
      <c r="BO104" s="58"/>
      <c r="BP104" s="55">
        <f t="shared" si="103"/>
        <v>17</v>
      </c>
      <c r="BQ104" s="346" t="s">
        <v>332</v>
      </c>
      <c r="BR104" s="56" t="s">
        <v>341</v>
      </c>
      <c r="BS104" s="395" t="s">
        <v>359</v>
      </c>
      <c r="BT104" s="339">
        <v>5</v>
      </c>
      <c r="BU104" s="395" t="s">
        <v>359</v>
      </c>
      <c r="BV104" s="46">
        <v>2020</v>
      </c>
      <c r="BW104" s="57"/>
      <c r="BX104" s="125">
        <v>5</v>
      </c>
      <c r="BY104" s="254">
        <f t="shared" si="104"/>
        <v>-24245</v>
      </c>
      <c r="BZ104" s="53" t="str">
        <f t="shared" si="105"/>
        <v>- - -</v>
      </c>
      <c r="CA104" s="316" t="str">
        <f t="shared" si="106"/>
        <v>Chánh Văn phòng Học viện, Trưởng Ban Tổ chức - Cán bộ, Trưởng Phân viện Học viện Hành chính Quốc gia tại Thành phố Hồ Chí Minh</v>
      </c>
      <c r="CB104" s="59" t="str">
        <f t="shared" si="107"/>
        <v>A</v>
      </c>
      <c r="CC104" s="38" t="str">
        <f t="shared" si="108"/>
        <v>=&gt; s</v>
      </c>
      <c r="CD104" s="48">
        <f t="shared" si="109"/>
        <v>24236</v>
      </c>
      <c r="CE104" s="31" t="str">
        <f t="shared" si="110"/>
        <v>---</v>
      </c>
      <c r="CF104" s="31"/>
      <c r="CG104" s="303"/>
      <c r="CH104" s="31"/>
      <c r="CI104" s="105"/>
      <c r="CJ104" s="31" t="str">
        <f t="shared" si="111"/>
        <v>- - -</v>
      </c>
      <c r="CK104" s="51" t="str">
        <f t="shared" si="112"/>
        <v>- - -</v>
      </c>
      <c r="CL104" s="61"/>
      <c r="CM104" s="62"/>
      <c r="CN104" s="61"/>
      <c r="CO104" s="76"/>
      <c r="CP104" s="51" t="str">
        <f t="shared" si="113"/>
        <v>- - -</v>
      </c>
      <c r="CQ104" s="61"/>
      <c r="CR104" s="62"/>
      <c r="CS104" s="61"/>
      <c r="CT104" s="76"/>
      <c r="CU104" s="65" t="str">
        <f t="shared" si="114"/>
        <v>---</v>
      </c>
      <c r="CV104" s="66" t="str">
        <f t="shared" si="115"/>
        <v>/-/ /-/</v>
      </c>
      <c r="CW104" s="63">
        <f t="shared" si="116"/>
        <v>9</v>
      </c>
      <c r="CX104" s="64">
        <f t="shared" si="117"/>
        <v>2023</v>
      </c>
      <c r="CY104" s="63">
        <f t="shared" si="118"/>
        <v>6</v>
      </c>
      <c r="CZ104" s="64">
        <f t="shared" si="119"/>
        <v>2023</v>
      </c>
      <c r="DA104" s="63">
        <f t="shared" si="120"/>
        <v>3</v>
      </c>
      <c r="DB104" s="64">
        <f t="shared" si="121"/>
        <v>2023</v>
      </c>
      <c r="DC104" s="67" t="str">
        <f t="shared" si="122"/>
        <v>- - -</v>
      </c>
      <c r="DD104" s="68" t="str">
        <f t="shared" si="123"/>
        <v>. .</v>
      </c>
      <c r="DE104" s="68"/>
      <c r="DF104" s="48">
        <f t="shared" si="124"/>
        <v>720</v>
      </c>
      <c r="DG104" s="48">
        <f t="shared" si="125"/>
        <v>-23552</v>
      </c>
      <c r="DH104" s="48">
        <f t="shared" si="126"/>
        <v>-1963</v>
      </c>
      <c r="DI104" s="48" t="str">
        <f t="shared" si="127"/>
        <v>Nam dưới 35</v>
      </c>
      <c r="DJ104" s="48"/>
      <c r="DK104" s="48"/>
      <c r="DL104" s="53" t="str">
        <f t="shared" si="128"/>
        <v>Đến 30</v>
      </c>
      <c r="DM104" s="61" t="str">
        <f t="shared" si="129"/>
        <v>TD</v>
      </c>
      <c r="DN104" s="32">
        <v>2009</v>
      </c>
      <c r="DO104" s="31"/>
      <c r="DP104" s="69"/>
      <c r="DQ104" s="32"/>
      <c r="DR104" s="76"/>
      <c r="DS104" s="77"/>
      <c r="DT104" s="78"/>
      <c r="DU104" s="71"/>
      <c r="DV104" s="84"/>
      <c r="DW104" s="33" t="s">
        <v>6</v>
      </c>
      <c r="DX104" s="315" t="s">
        <v>416</v>
      </c>
      <c r="DY104" s="33" t="s">
        <v>6</v>
      </c>
      <c r="DZ104" s="44" t="s">
        <v>341</v>
      </c>
      <c r="EA104" s="45" t="s">
        <v>359</v>
      </c>
      <c r="EB104" s="45" t="s">
        <v>345</v>
      </c>
      <c r="EC104" s="45" t="s">
        <v>359</v>
      </c>
      <c r="ED104" s="72" t="s">
        <v>362</v>
      </c>
      <c r="EE104" s="45">
        <f t="shared" si="130"/>
        <v>0</v>
      </c>
      <c r="EF104" s="73" t="str">
        <f t="shared" si="131"/>
        <v>- - -</v>
      </c>
      <c r="EG104" s="44" t="s">
        <v>341</v>
      </c>
      <c r="EH104" s="45" t="s">
        <v>359</v>
      </c>
      <c r="EI104" s="45" t="s">
        <v>345</v>
      </c>
      <c r="EJ104" s="45" t="s">
        <v>359</v>
      </c>
      <c r="EK104" s="72" t="s">
        <v>362</v>
      </c>
      <c r="EL104" s="31"/>
      <c r="EM104" s="51" t="str">
        <f t="shared" si="132"/>
        <v>- - -</v>
      </c>
      <c r="EN104" s="74" t="str">
        <f t="shared" si="133"/>
        <v>---</v>
      </c>
      <c r="EO104" s="84"/>
    </row>
    <row r="105" spans="1:174" s="244" customFormat="1" ht="11.25" customHeight="1" x14ac:dyDescent="0.2">
      <c r="A105" s="100">
        <v>677</v>
      </c>
      <c r="B105" s="296">
        <v>16</v>
      </c>
      <c r="C105" s="31"/>
      <c r="D105" s="31" t="str">
        <f t="shared" si="90"/>
        <v>Ông</v>
      </c>
      <c r="E105" s="37" t="s">
        <v>291</v>
      </c>
      <c r="F105" s="31" t="s">
        <v>378</v>
      </c>
      <c r="G105" s="60" t="s">
        <v>341</v>
      </c>
      <c r="H105" s="508" t="s">
        <v>359</v>
      </c>
      <c r="I105" s="60" t="s">
        <v>371</v>
      </c>
      <c r="J105" s="508" t="s">
        <v>359</v>
      </c>
      <c r="K105" s="37" t="s">
        <v>308</v>
      </c>
      <c r="L105" s="157" t="s">
        <v>451</v>
      </c>
      <c r="M105" s="526" t="str">
        <f t="shared" si="91"/>
        <v>VC</v>
      </c>
      <c r="N105" s="163"/>
      <c r="O105" s="509" t="e">
        <f t="shared" si="92"/>
        <v>#N/A</v>
      </c>
      <c r="P105" s="37"/>
      <c r="Q105" s="296" t="e">
        <f>VLOOKUP(P105,'[1]- DLiêu Gốc (Không sửa)'!$C$2:$H$116,2,0)</f>
        <v>#N/A</v>
      </c>
      <c r="R105" s="37" t="s">
        <v>6</v>
      </c>
      <c r="S105" s="521" t="s">
        <v>566</v>
      </c>
      <c r="T105" s="35" t="str">
        <f>VLOOKUP(Y105,'- DLiêu Gốc -'!$C$2:$H$60,5,0)</f>
        <v>A1</v>
      </c>
      <c r="U105" s="36" t="str">
        <f>VLOOKUP(Y105,'- DLiêu Gốc -'!$C$2:$H$60,6,0)</f>
        <v>- - -</v>
      </c>
      <c r="V105" s="537" t="s">
        <v>424</v>
      </c>
      <c r="W105" s="295" t="str">
        <f t="shared" si="93"/>
        <v>Giảng viên (hạng III)</v>
      </c>
      <c r="X105" s="298" t="str">
        <f t="shared" si="94"/>
        <v>V.07.01.03</v>
      </c>
      <c r="Y105" s="317" t="s">
        <v>430</v>
      </c>
      <c r="Z105" s="317" t="str">
        <f>VLOOKUP(Y105,'- DLiêu Gốc -'!$C$1:$H$133,2,0)</f>
        <v>V.07.01.03</v>
      </c>
      <c r="AA105" s="48" t="str">
        <f t="shared" si="95"/>
        <v>Lương</v>
      </c>
      <c r="AB105" s="139">
        <v>5</v>
      </c>
      <c r="AC105" s="407" t="str">
        <f>IF(AD105&gt;0,"/")</f>
        <v>/</v>
      </c>
      <c r="AD105" s="39">
        <f>IF(OR(BE105=0.18,BE105=0.2),12,IF(BE105=0.31,10,IF(BE105=0.33,9,IF(BE105=0.34,8,IF(BE105=0.36,6)))))</f>
        <v>9</v>
      </c>
      <c r="AE105" s="40">
        <f>BD105+(AB105-1)*BE105</f>
        <v>3.66</v>
      </c>
      <c r="AF105" s="329"/>
      <c r="AG105" s="329"/>
      <c r="AH105" s="44" t="s">
        <v>341</v>
      </c>
      <c r="AI105" s="405" t="s">
        <v>359</v>
      </c>
      <c r="AJ105" s="45" t="s">
        <v>342</v>
      </c>
      <c r="AK105" s="405" t="s">
        <v>359</v>
      </c>
      <c r="AL105" s="46">
        <v>2015</v>
      </c>
      <c r="AM105" s="126"/>
      <c r="AN105" s="49"/>
      <c r="AO105" s="41">
        <f t="shared" si="96"/>
        <v>6</v>
      </c>
      <c r="AP105" s="401" t="str">
        <f t="shared" si="97"/>
        <v>/</v>
      </c>
      <c r="AQ105" s="80">
        <f t="shared" si="98"/>
        <v>9</v>
      </c>
      <c r="AR105" s="43">
        <f t="shared" si="99"/>
        <v>3.99</v>
      </c>
      <c r="AS105" s="333"/>
      <c r="AT105" s="44" t="s">
        <v>341</v>
      </c>
      <c r="AU105" s="395" t="s">
        <v>359</v>
      </c>
      <c r="AV105" s="45" t="s">
        <v>342</v>
      </c>
      <c r="AW105" s="395" t="s">
        <v>359</v>
      </c>
      <c r="AX105" s="398">
        <v>2018</v>
      </c>
      <c r="AY105" s="345"/>
      <c r="AZ105" s="383"/>
      <c r="BA105" s="392">
        <v>2.1800000000000002</v>
      </c>
      <c r="BB105" s="47">
        <f t="shared" si="100"/>
        <v>3</v>
      </c>
      <c r="BC105" s="253">
        <f t="shared" si="101"/>
        <v>-24218</v>
      </c>
      <c r="BD105" s="205">
        <f>VLOOKUP(Y105,'- DLiêu Gốc -'!$C$1:$F$60,3,0)</f>
        <v>2.34</v>
      </c>
      <c r="BE105" s="205">
        <f>VLOOKUP(Y105,'- DLiêu Gốc -'!$C$1:$F$60,4,0)</f>
        <v>0.33</v>
      </c>
      <c r="BF105" s="53" t="str">
        <f t="shared" si="102"/>
        <v>PCTN</v>
      </c>
      <c r="BG105" s="54">
        <v>16</v>
      </c>
      <c r="BH105" s="343" t="s">
        <v>332</v>
      </c>
      <c r="BI105" s="56" t="s">
        <v>341</v>
      </c>
      <c r="BJ105" s="1430" t="s">
        <v>359</v>
      </c>
      <c r="BK105" s="341">
        <v>5</v>
      </c>
      <c r="BL105" s="400" t="s">
        <v>359</v>
      </c>
      <c r="BM105" s="178">
        <v>2019</v>
      </c>
      <c r="BN105" s="126"/>
      <c r="BO105" s="58"/>
      <c r="BP105" s="55">
        <f t="shared" si="103"/>
        <v>17</v>
      </c>
      <c r="BQ105" s="346" t="s">
        <v>332</v>
      </c>
      <c r="BR105" s="56" t="s">
        <v>341</v>
      </c>
      <c r="BS105" s="395" t="s">
        <v>359</v>
      </c>
      <c r="BT105" s="339">
        <v>5</v>
      </c>
      <c r="BU105" s="395" t="s">
        <v>359</v>
      </c>
      <c r="BV105" s="46">
        <v>2020</v>
      </c>
      <c r="BW105" s="57"/>
      <c r="BX105" s="125">
        <v>5</v>
      </c>
      <c r="BY105" s="254">
        <f t="shared" si="104"/>
        <v>-24245</v>
      </c>
      <c r="BZ105" s="53" t="str">
        <f t="shared" si="105"/>
        <v>- - -</v>
      </c>
      <c r="CA105" s="316" t="str">
        <f t="shared" si="106"/>
        <v>Chánh Văn phòng Học viện, Trưởng Ban Tổ chức - Cán bộ, Trưởng Phân viện Học viện Hành chính Quốc gia tại Thành phố Hồ Chí Minh</v>
      </c>
      <c r="CB105" s="59" t="str">
        <f t="shared" si="107"/>
        <v>A</v>
      </c>
      <c r="CC105" s="38" t="str">
        <f t="shared" si="108"/>
        <v>=&gt; s</v>
      </c>
      <c r="CD105" s="48">
        <f t="shared" si="109"/>
        <v>24242</v>
      </c>
      <c r="CE105" s="31" t="str">
        <f t="shared" si="110"/>
        <v>---</v>
      </c>
      <c r="CF105" s="31"/>
      <c r="CG105" s="303"/>
      <c r="CH105" s="31"/>
      <c r="CI105" s="105"/>
      <c r="CJ105" s="31" t="str">
        <f t="shared" si="111"/>
        <v>- - -</v>
      </c>
      <c r="CK105" s="51" t="str">
        <f t="shared" si="112"/>
        <v>- - -</v>
      </c>
      <c r="CL105" s="61"/>
      <c r="CM105" s="62"/>
      <c r="CN105" s="61"/>
      <c r="CO105" s="76"/>
      <c r="CP105" s="51" t="str">
        <f t="shared" si="113"/>
        <v>- - -</v>
      </c>
      <c r="CQ105" s="61"/>
      <c r="CR105" s="32"/>
      <c r="CS105" s="61"/>
      <c r="CT105" s="76"/>
      <c r="CU105" s="65" t="str">
        <f t="shared" si="114"/>
        <v>---</v>
      </c>
      <c r="CV105" s="66" t="str">
        <f t="shared" si="115"/>
        <v>/-/ /-/</v>
      </c>
      <c r="CW105" s="63">
        <f t="shared" si="116"/>
        <v>12</v>
      </c>
      <c r="CX105" s="64">
        <f t="shared" si="117"/>
        <v>2037</v>
      </c>
      <c r="CY105" s="63">
        <f t="shared" si="118"/>
        <v>9</v>
      </c>
      <c r="CZ105" s="64">
        <f t="shared" si="119"/>
        <v>2037</v>
      </c>
      <c r="DA105" s="63">
        <f t="shared" si="120"/>
        <v>6</v>
      </c>
      <c r="DB105" s="64">
        <f t="shared" si="121"/>
        <v>2037</v>
      </c>
      <c r="DC105" s="67" t="str">
        <f t="shared" si="122"/>
        <v>- - -</v>
      </c>
      <c r="DD105" s="68" t="str">
        <f t="shared" si="123"/>
        <v>. .</v>
      </c>
      <c r="DE105" s="68"/>
      <c r="DF105" s="48">
        <f t="shared" si="124"/>
        <v>720</v>
      </c>
      <c r="DG105" s="48">
        <f t="shared" si="125"/>
        <v>-23723</v>
      </c>
      <c r="DH105" s="48">
        <f t="shared" si="126"/>
        <v>-1977</v>
      </c>
      <c r="DI105" s="48" t="str">
        <f t="shared" si="127"/>
        <v>Nam dưới 35</v>
      </c>
      <c r="DJ105" s="48"/>
      <c r="DK105" s="48"/>
      <c r="DL105" s="53" t="str">
        <f t="shared" si="128"/>
        <v>Đến 30</v>
      </c>
      <c r="DM105" s="61" t="str">
        <f t="shared" si="129"/>
        <v>TD</v>
      </c>
      <c r="DN105" s="32">
        <v>2009</v>
      </c>
      <c r="DO105" s="31"/>
      <c r="DP105" s="69"/>
      <c r="DQ105" s="32"/>
      <c r="DR105" s="76"/>
      <c r="DS105" s="77"/>
      <c r="DT105" s="78"/>
      <c r="DU105" s="71"/>
      <c r="DV105" s="84"/>
      <c r="DW105" s="33" t="s">
        <v>6</v>
      </c>
      <c r="DX105" s="315" t="s">
        <v>416</v>
      </c>
      <c r="DY105" s="33" t="s">
        <v>6</v>
      </c>
      <c r="DZ105" s="44" t="s">
        <v>341</v>
      </c>
      <c r="EA105" s="45" t="s">
        <v>359</v>
      </c>
      <c r="EB105" s="45" t="s">
        <v>342</v>
      </c>
      <c r="EC105" s="45" t="s">
        <v>359</v>
      </c>
      <c r="ED105" s="72" t="s">
        <v>377</v>
      </c>
      <c r="EE105" s="45">
        <f t="shared" si="130"/>
        <v>0</v>
      </c>
      <c r="EF105" s="73" t="str">
        <f t="shared" si="131"/>
        <v>- - -</v>
      </c>
      <c r="EG105" s="44" t="s">
        <v>341</v>
      </c>
      <c r="EH105" s="45" t="s">
        <v>359</v>
      </c>
      <c r="EI105" s="45" t="s">
        <v>342</v>
      </c>
      <c r="EJ105" s="45" t="s">
        <v>359</v>
      </c>
      <c r="EK105" s="72" t="s">
        <v>377</v>
      </c>
      <c r="EL105" s="31"/>
      <c r="EM105" s="51" t="str">
        <f t="shared" si="132"/>
        <v>- - -</v>
      </c>
      <c r="EN105" s="74" t="str">
        <f t="shared" si="133"/>
        <v>---</v>
      </c>
      <c r="EO105" s="84"/>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row>
    <row r="106" spans="1:174" s="554" customFormat="1" ht="11.25" customHeight="1" x14ac:dyDescent="0.25">
      <c r="A106" s="100">
        <v>694</v>
      </c>
      <c r="B106" s="296">
        <v>35</v>
      </c>
      <c r="C106" s="31"/>
      <c r="D106" s="31" t="str">
        <f t="shared" si="90"/>
        <v>Bà</v>
      </c>
      <c r="E106" s="37" t="s">
        <v>73</v>
      </c>
      <c r="F106" s="31" t="s">
        <v>380</v>
      </c>
      <c r="G106" s="60" t="s">
        <v>349</v>
      </c>
      <c r="H106" s="508" t="s">
        <v>359</v>
      </c>
      <c r="I106" s="60">
        <v>9</v>
      </c>
      <c r="J106" s="508" t="s">
        <v>359</v>
      </c>
      <c r="K106" s="37">
        <v>1969</v>
      </c>
      <c r="L106" s="157" t="s">
        <v>451</v>
      </c>
      <c r="M106" s="526" t="str">
        <f t="shared" si="91"/>
        <v>VC</v>
      </c>
      <c r="N106" s="163"/>
      <c r="O106" s="509" t="e">
        <f t="shared" si="92"/>
        <v>#N/A</v>
      </c>
      <c r="P106" s="37"/>
      <c r="Q106" s="296" t="e">
        <f>VLOOKUP(P106,'[1]- DLiêu Gốc (Không sửa)'!$C$2:$H$116,2,0)</f>
        <v>#N/A</v>
      </c>
      <c r="R106" s="524" t="s">
        <v>381</v>
      </c>
      <c r="S106" s="521" t="s">
        <v>566</v>
      </c>
      <c r="T106" s="35" t="str">
        <f>VLOOKUP(Y106,'- DLiêu Gốc -'!$C$2:$H$60,5,0)</f>
        <v>A1</v>
      </c>
      <c r="U106" s="36" t="str">
        <f>VLOOKUP(Y106,'- DLiêu Gốc -'!$C$2:$H$60,6,0)</f>
        <v>- - -</v>
      </c>
      <c r="V106" s="537" t="s">
        <v>424</v>
      </c>
      <c r="W106" s="295" t="str">
        <f t="shared" si="93"/>
        <v>Giảng viên (hạng III)</v>
      </c>
      <c r="X106" s="93" t="str">
        <f t="shared" si="94"/>
        <v>V.07.01.03</v>
      </c>
      <c r="Y106" s="317" t="s">
        <v>430</v>
      </c>
      <c r="Z106" s="317" t="str">
        <f>VLOOKUP(Y106,'- DLiêu Gốc -'!$C$1:$H$133,2,0)</f>
        <v>V.07.01.03</v>
      </c>
      <c r="AA106" s="48" t="str">
        <f t="shared" si="95"/>
        <v>Lương</v>
      </c>
      <c r="AB106" s="139">
        <v>7</v>
      </c>
      <c r="AC106" s="407" t="s">
        <v>359</v>
      </c>
      <c r="AD106" s="39">
        <v>9</v>
      </c>
      <c r="AE106" s="50">
        <v>4.32</v>
      </c>
      <c r="AF106" s="331"/>
      <c r="AG106" s="331"/>
      <c r="AH106" s="421" t="s">
        <v>341</v>
      </c>
      <c r="AI106" s="405" t="s">
        <v>359</v>
      </c>
      <c r="AJ106" s="42" t="s">
        <v>342</v>
      </c>
      <c r="AK106" s="405" t="s">
        <v>359</v>
      </c>
      <c r="AL106" s="754">
        <v>2017</v>
      </c>
      <c r="AM106" s="118"/>
      <c r="AN106" s="49"/>
      <c r="AO106" s="41">
        <f t="shared" si="96"/>
        <v>8</v>
      </c>
      <c r="AP106" s="401" t="str">
        <f t="shared" si="97"/>
        <v>/</v>
      </c>
      <c r="AQ106" s="80">
        <f t="shared" si="98"/>
        <v>9</v>
      </c>
      <c r="AR106" s="43">
        <f t="shared" si="99"/>
        <v>4.6500000000000004</v>
      </c>
      <c r="AS106" s="333"/>
      <c r="AT106" s="44" t="s">
        <v>341</v>
      </c>
      <c r="AU106" s="395" t="s">
        <v>359</v>
      </c>
      <c r="AV106" s="45" t="s">
        <v>342</v>
      </c>
      <c r="AW106" s="395" t="s">
        <v>359</v>
      </c>
      <c r="AX106" s="213">
        <v>2020</v>
      </c>
      <c r="AY106" s="84"/>
      <c r="AZ106" s="191"/>
      <c r="BA106" s="392"/>
      <c r="BB106" s="47">
        <f t="shared" si="100"/>
        <v>3</v>
      </c>
      <c r="BC106" s="253">
        <f t="shared" si="101"/>
        <v>-24242</v>
      </c>
      <c r="BD106" s="205">
        <f>VLOOKUP(Y106,'- DLiêu Gốc -'!$C$1:$F$60,3,0)</f>
        <v>2.34</v>
      </c>
      <c r="BE106" s="205">
        <f>VLOOKUP(Y106,'- DLiêu Gốc -'!$C$1:$F$60,4,0)</f>
        <v>0.33</v>
      </c>
      <c r="BF106" s="53" t="str">
        <f t="shared" si="102"/>
        <v>PCTN</v>
      </c>
      <c r="BG106" s="54">
        <v>16</v>
      </c>
      <c r="BH106" s="343" t="s">
        <v>332</v>
      </c>
      <c r="BI106" s="56" t="s">
        <v>341</v>
      </c>
      <c r="BJ106" s="1430" t="s">
        <v>359</v>
      </c>
      <c r="BK106" s="341">
        <v>5</v>
      </c>
      <c r="BL106" s="400" t="s">
        <v>359</v>
      </c>
      <c r="BM106" s="178">
        <v>2019</v>
      </c>
      <c r="BN106" s="118"/>
      <c r="BO106" s="58"/>
      <c r="BP106" s="55">
        <f t="shared" si="103"/>
        <v>17</v>
      </c>
      <c r="BQ106" s="346" t="s">
        <v>332</v>
      </c>
      <c r="BR106" s="56" t="s">
        <v>341</v>
      </c>
      <c r="BS106" s="395" t="s">
        <v>359</v>
      </c>
      <c r="BT106" s="339">
        <v>5</v>
      </c>
      <c r="BU106" s="395" t="s">
        <v>359</v>
      </c>
      <c r="BV106" s="46">
        <v>2020</v>
      </c>
      <c r="BW106" s="57"/>
      <c r="BX106" s="125">
        <v>5</v>
      </c>
      <c r="BY106" s="254">
        <f t="shared" si="104"/>
        <v>-24245</v>
      </c>
      <c r="BZ106" s="53" t="str">
        <f t="shared" si="105"/>
        <v>- - -</v>
      </c>
      <c r="CA106" s="316" t="str">
        <f t="shared" si="106"/>
        <v>Chánh Văn phòng Học viện, Trưởng Ban Tổ chức - Cán bộ, Trưởng Phân viện Học viện Hành chính Quốc gia tại Thành phố Hồ Chí Minh</v>
      </c>
      <c r="CB106" s="59" t="str">
        <f t="shared" si="107"/>
        <v>A</v>
      </c>
      <c r="CC106" s="38" t="str">
        <f t="shared" si="108"/>
        <v>=&gt; s</v>
      </c>
      <c r="CD106" s="48">
        <f t="shared" si="109"/>
        <v>24266</v>
      </c>
      <c r="CE106" s="31" t="str">
        <f t="shared" si="110"/>
        <v>---</v>
      </c>
      <c r="CF106" s="31"/>
      <c r="CG106" s="175"/>
      <c r="CH106" s="31"/>
      <c r="CI106" s="31"/>
      <c r="CJ106" s="31" t="str">
        <f t="shared" si="111"/>
        <v>- - -</v>
      </c>
      <c r="CK106" s="51" t="str">
        <f t="shared" si="112"/>
        <v>- - -</v>
      </c>
      <c r="CL106" s="61"/>
      <c r="CM106" s="62"/>
      <c r="CN106" s="61"/>
      <c r="CO106" s="76"/>
      <c r="CP106" s="51" t="str">
        <f t="shared" si="113"/>
        <v>- - -</v>
      </c>
      <c r="CQ106" s="61"/>
      <c r="CR106" s="62"/>
      <c r="CS106" s="61"/>
      <c r="CT106" s="76"/>
      <c r="CU106" s="65" t="str">
        <f t="shared" si="114"/>
        <v>---</v>
      </c>
      <c r="CV106" s="66" t="str">
        <f t="shared" si="115"/>
        <v>/-/ /-/</v>
      </c>
      <c r="CW106" s="63">
        <f t="shared" si="116"/>
        <v>10</v>
      </c>
      <c r="CX106" s="64">
        <f t="shared" si="117"/>
        <v>2024</v>
      </c>
      <c r="CY106" s="63">
        <f t="shared" si="118"/>
        <v>7</v>
      </c>
      <c r="CZ106" s="64">
        <f t="shared" si="119"/>
        <v>2024</v>
      </c>
      <c r="DA106" s="63">
        <f t="shared" si="120"/>
        <v>4</v>
      </c>
      <c r="DB106" s="64">
        <f t="shared" si="121"/>
        <v>2024</v>
      </c>
      <c r="DC106" s="67" t="str">
        <f t="shared" si="122"/>
        <v>- - -</v>
      </c>
      <c r="DD106" s="68" t="str">
        <f t="shared" si="123"/>
        <v>. .</v>
      </c>
      <c r="DE106" s="305"/>
      <c r="DF106" s="48">
        <f t="shared" si="124"/>
        <v>660</v>
      </c>
      <c r="DG106" s="48">
        <f t="shared" si="125"/>
        <v>-23625</v>
      </c>
      <c r="DH106" s="48">
        <f t="shared" si="126"/>
        <v>-1969</v>
      </c>
      <c r="DI106" s="48" t="str">
        <f t="shared" si="127"/>
        <v>Nữ dưới 30</v>
      </c>
      <c r="DJ106" s="48"/>
      <c r="DK106" s="48"/>
      <c r="DL106" s="53" t="str">
        <f t="shared" si="128"/>
        <v>Đến 30</v>
      </c>
      <c r="DM106" s="61" t="str">
        <f t="shared" si="129"/>
        <v>TD</v>
      </c>
      <c r="DN106" s="32">
        <v>2009</v>
      </c>
      <c r="DO106" s="31"/>
      <c r="DP106" s="52"/>
      <c r="DQ106" s="76"/>
      <c r="DR106" s="76"/>
      <c r="DS106" s="302"/>
      <c r="DT106" s="297"/>
      <c r="DU106" s="71"/>
      <c r="DV106" s="84"/>
      <c r="DW106" s="165" t="s">
        <v>381</v>
      </c>
      <c r="DX106" s="315" t="s">
        <v>416</v>
      </c>
      <c r="DY106" s="33" t="s">
        <v>381</v>
      </c>
      <c r="DZ106" s="300" t="s">
        <v>341</v>
      </c>
      <c r="EA106" s="45" t="s">
        <v>359</v>
      </c>
      <c r="EB106" s="45" t="s">
        <v>342</v>
      </c>
      <c r="EC106" s="45" t="s">
        <v>359</v>
      </c>
      <c r="ED106" s="72" t="s">
        <v>362</v>
      </c>
      <c r="EE106" s="45">
        <f t="shared" si="130"/>
        <v>0</v>
      </c>
      <c r="EF106" s="73" t="str">
        <f t="shared" si="131"/>
        <v>- - -</v>
      </c>
      <c r="EG106" s="300" t="s">
        <v>341</v>
      </c>
      <c r="EH106" s="45" t="s">
        <v>359</v>
      </c>
      <c r="EI106" s="45" t="s">
        <v>342</v>
      </c>
      <c r="EJ106" s="45" t="s">
        <v>359</v>
      </c>
      <c r="EK106" s="72" t="s">
        <v>362</v>
      </c>
      <c r="EL106" s="31"/>
      <c r="EM106" s="51" t="str">
        <f t="shared" si="132"/>
        <v>- - -</v>
      </c>
      <c r="EN106" s="74" t="str">
        <f t="shared" si="133"/>
        <v>---</v>
      </c>
      <c r="EO106" s="84"/>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row>
    <row r="107" spans="1:174" s="75" customFormat="1" ht="11.25" customHeight="1" x14ac:dyDescent="0.2">
      <c r="A107" s="100">
        <v>696</v>
      </c>
      <c r="B107" s="296">
        <v>37</v>
      </c>
      <c r="C107" s="31"/>
      <c r="D107" s="31" t="str">
        <f t="shared" si="90"/>
        <v>Bà</v>
      </c>
      <c r="E107" s="37" t="s">
        <v>132</v>
      </c>
      <c r="F107" s="31" t="s">
        <v>380</v>
      </c>
      <c r="G107" s="60" t="s">
        <v>282</v>
      </c>
      <c r="H107" s="508" t="s">
        <v>359</v>
      </c>
      <c r="I107" s="60">
        <v>5</v>
      </c>
      <c r="J107" s="508" t="s">
        <v>359</v>
      </c>
      <c r="K107" s="37">
        <v>1977</v>
      </c>
      <c r="L107" s="157" t="s">
        <v>451</v>
      </c>
      <c r="M107" s="526" t="str">
        <f t="shared" si="91"/>
        <v>VC</v>
      </c>
      <c r="N107" s="163"/>
      <c r="O107" s="509" t="str">
        <f t="shared" si="92"/>
        <v>CVụ</v>
      </c>
      <c r="P107" s="37" t="s">
        <v>250</v>
      </c>
      <c r="Q107" s="296" t="str">
        <f>VLOOKUP(P107,'[1]- DLiêu Gốc (Không sửa)'!$C$2:$H$116,2,0)</f>
        <v>0,4</v>
      </c>
      <c r="R107" s="524" t="s">
        <v>381</v>
      </c>
      <c r="S107" s="521" t="s">
        <v>566</v>
      </c>
      <c r="T107" s="35" t="str">
        <f>VLOOKUP(Y107,'- DLiêu Gốc -'!$C$2:$H$60,5,0)</f>
        <v>A1</v>
      </c>
      <c r="U107" s="36" t="str">
        <f>VLOOKUP(Y107,'- DLiêu Gốc -'!$C$2:$H$60,6,0)</f>
        <v>- - -</v>
      </c>
      <c r="V107" s="537" t="s">
        <v>424</v>
      </c>
      <c r="W107" s="295" t="str">
        <f t="shared" si="93"/>
        <v>Giảng viên (hạng III)</v>
      </c>
      <c r="X107" s="298" t="str">
        <f t="shared" si="94"/>
        <v>V.07.01.03</v>
      </c>
      <c r="Y107" s="317" t="s">
        <v>430</v>
      </c>
      <c r="Z107" s="317" t="str">
        <f>VLOOKUP(Y107,'- DLiêu Gốc -'!$C$1:$H$133,2,0)</f>
        <v>V.07.01.03</v>
      </c>
      <c r="AA107" s="48" t="str">
        <f t="shared" si="95"/>
        <v>Lương</v>
      </c>
      <c r="AB107" s="139">
        <v>6</v>
      </c>
      <c r="AC107" s="407" t="s">
        <v>359</v>
      </c>
      <c r="AD107" s="39">
        <v>9</v>
      </c>
      <c r="AE107" s="40">
        <v>3.99</v>
      </c>
      <c r="AF107" s="329"/>
      <c r="AG107" s="329"/>
      <c r="AH107" s="572" t="s">
        <v>341</v>
      </c>
      <c r="AI107" s="571" t="s">
        <v>359</v>
      </c>
      <c r="AJ107" s="568" t="s">
        <v>349</v>
      </c>
      <c r="AK107" s="571" t="s">
        <v>359</v>
      </c>
      <c r="AL107" s="756">
        <v>2017</v>
      </c>
      <c r="AM107" s="126"/>
      <c r="AN107" s="49"/>
      <c r="AO107" s="41">
        <f t="shared" si="96"/>
        <v>7</v>
      </c>
      <c r="AP107" s="401" t="str">
        <f t="shared" si="97"/>
        <v>/</v>
      </c>
      <c r="AQ107" s="80">
        <f t="shared" si="98"/>
        <v>9</v>
      </c>
      <c r="AR107" s="43">
        <f t="shared" si="99"/>
        <v>4.32</v>
      </c>
      <c r="AS107" s="333"/>
      <c r="AT107" s="44" t="s">
        <v>341</v>
      </c>
      <c r="AU107" s="395" t="s">
        <v>359</v>
      </c>
      <c r="AV107" s="45" t="s">
        <v>11</v>
      </c>
      <c r="AW107" s="395" t="s">
        <v>359</v>
      </c>
      <c r="AX107" s="46">
        <v>2020</v>
      </c>
      <c r="AY107" s="84"/>
      <c r="AZ107" s="191" t="s">
        <v>620</v>
      </c>
      <c r="BA107" s="392"/>
      <c r="BB107" s="47">
        <f t="shared" si="100"/>
        <v>3</v>
      </c>
      <c r="BC107" s="253">
        <f t="shared" si="101"/>
        <v>-24246</v>
      </c>
      <c r="BD107" s="205">
        <f>VLOOKUP(Y107,'- DLiêu Gốc -'!$C$1:$F$60,3,0)</f>
        <v>2.34</v>
      </c>
      <c r="BE107" s="205">
        <f>VLOOKUP(Y107,'- DLiêu Gốc -'!$C$1:$F$60,4,0)</f>
        <v>0.33</v>
      </c>
      <c r="BF107" s="53" t="str">
        <f t="shared" si="102"/>
        <v>PCTN</v>
      </c>
      <c r="BG107" s="54">
        <v>16</v>
      </c>
      <c r="BH107" s="343" t="s">
        <v>332</v>
      </c>
      <c r="BI107" s="56" t="s">
        <v>341</v>
      </c>
      <c r="BJ107" s="1430" t="s">
        <v>359</v>
      </c>
      <c r="BK107" s="341">
        <v>5</v>
      </c>
      <c r="BL107" s="400" t="s">
        <v>359</v>
      </c>
      <c r="BM107" s="178">
        <v>2019</v>
      </c>
      <c r="BN107" s="126"/>
      <c r="BO107" s="58"/>
      <c r="BP107" s="55">
        <f t="shared" si="103"/>
        <v>17</v>
      </c>
      <c r="BQ107" s="346" t="s">
        <v>332</v>
      </c>
      <c r="BR107" s="56" t="s">
        <v>341</v>
      </c>
      <c r="BS107" s="395" t="s">
        <v>359</v>
      </c>
      <c r="BT107" s="339">
        <v>5</v>
      </c>
      <c r="BU107" s="395" t="s">
        <v>359</v>
      </c>
      <c r="BV107" s="46">
        <v>2020</v>
      </c>
      <c r="BW107" s="57"/>
      <c r="BX107" s="125">
        <v>5</v>
      </c>
      <c r="BY107" s="254">
        <f t="shared" si="104"/>
        <v>-24245</v>
      </c>
      <c r="BZ107" s="53" t="str">
        <f t="shared" si="105"/>
        <v>- - -</v>
      </c>
      <c r="CA107" s="316" t="str">
        <f t="shared" si="106"/>
        <v>Chánh Văn phòng Học viện, Trưởng Ban Tổ chức - Cán bộ, Trưởng Phân viện Học viện Hành chính Quốc gia tại Thành phố Hồ Chí Minh</v>
      </c>
      <c r="CB107" s="59" t="str">
        <f t="shared" si="107"/>
        <v>A</v>
      </c>
      <c r="CC107" s="38" t="str">
        <f t="shared" si="108"/>
        <v>=&gt; s</v>
      </c>
      <c r="CD107" s="48">
        <f t="shared" si="109"/>
        <v>24270</v>
      </c>
      <c r="CE107" s="31" t="str">
        <f t="shared" si="110"/>
        <v>---</v>
      </c>
      <c r="CF107" s="31"/>
      <c r="CG107" s="303"/>
      <c r="CH107" s="31"/>
      <c r="CI107" s="105"/>
      <c r="CJ107" s="31" t="str">
        <f t="shared" si="111"/>
        <v>- - -</v>
      </c>
      <c r="CK107" s="51" t="str">
        <f t="shared" si="112"/>
        <v>- - -</v>
      </c>
      <c r="CL107" s="61"/>
      <c r="CM107" s="62"/>
      <c r="CN107" s="61"/>
      <c r="CO107" s="76"/>
      <c r="CP107" s="51" t="str">
        <f t="shared" si="113"/>
        <v>- - -</v>
      </c>
      <c r="CQ107" s="61"/>
      <c r="CR107" s="62"/>
      <c r="CS107" s="61"/>
      <c r="CT107" s="76"/>
      <c r="CU107" s="65" t="str">
        <f t="shared" si="114"/>
        <v>---</v>
      </c>
      <c r="CV107" s="66" t="str">
        <f t="shared" si="115"/>
        <v>/-/ /-/</v>
      </c>
      <c r="CW107" s="63">
        <f t="shared" si="116"/>
        <v>6</v>
      </c>
      <c r="CX107" s="64">
        <f t="shared" si="117"/>
        <v>2032</v>
      </c>
      <c r="CY107" s="63">
        <f t="shared" si="118"/>
        <v>3</v>
      </c>
      <c r="CZ107" s="64">
        <f t="shared" si="119"/>
        <v>2032</v>
      </c>
      <c r="DA107" s="63">
        <f t="shared" si="120"/>
        <v>12</v>
      </c>
      <c r="DB107" s="64">
        <f t="shared" si="121"/>
        <v>2031</v>
      </c>
      <c r="DC107" s="67" t="str">
        <f t="shared" si="122"/>
        <v>- - -</v>
      </c>
      <c r="DD107" s="68" t="str">
        <f t="shared" si="123"/>
        <v>. .</v>
      </c>
      <c r="DE107" s="68"/>
      <c r="DF107" s="48">
        <f t="shared" si="124"/>
        <v>660</v>
      </c>
      <c r="DG107" s="48">
        <f t="shared" si="125"/>
        <v>-23717</v>
      </c>
      <c r="DH107" s="48">
        <f t="shared" si="126"/>
        <v>-1977</v>
      </c>
      <c r="DI107" s="48" t="str">
        <f t="shared" si="127"/>
        <v>Nữ dưới 30</v>
      </c>
      <c r="DJ107" s="48"/>
      <c r="DK107" s="48"/>
      <c r="DL107" s="53" t="str">
        <f t="shared" si="128"/>
        <v>Đến 30</v>
      </c>
      <c r="DM107" s="61" t="str">
        <f t="shared" si="129"/>
        <v>TD</v>
      </c>
      <c r="DN107" s="32">
        <v>2008</v>
      </c>
      <c r="DO107" s="31"/>
      <c r="DP107" s="69"/>
      <c r="DQ107" s="32"/>
      <c r="DR107" s="76"/>
      <c r="DS107" s="77"/>
      <c r="DT107" s="78"/>
      <c r="DU107" s="71"/>
      <c r="DV107" s="84"/>
      <c r="DW107" s="165" t="s">
        <v>381</v>
      </c>
      <c r="DX107" s="315" t="s">
        <v>416</v>
      </c>
      <c r="DY107" s="33" t="s">
        <v>6</v>
      </c>
      <c r="DZ107" s="44" t="s">
        <v>341</v>
      </c>
      <c r="EA107" s="45" t="s">
        <v>359</v>
      </c>
      <c r="EB107" s="45" t="s">
        <v>349</v>
      </c>
      <c r="EC107" s="45" t="s">
        <v>359</v>
      </c>
      <c r="ED107" s="72" t="s">
        <v>362</v>
      </c>
      <c r="EE107" s="45">
        <f t="shared" si="130"/>
        <v>0</v>
      </c>
      <c r="EF107" s="73" t="str">
        <f t="shared" si="131"/>
        <v>- - -</v>
      </c>
      <c r="EG107" s="44" t="s">
        <v>341</v>
      </c>
      <c r="EH107" s="45" t="s">
        <v>359</v>
      </c>
      <c r="EI107" s="45" t="s">
        <v>349</v>
      </c>
      <c r="EJ107" s="45" t="s">
        <v>359</v>
      </c>
      <c r="EK107" s="72" t="s">
        <v>362</v>
      </c>
      <c r="EL107" s="31"/>
      <c r="EM107" s="51" t="str">
        <f t="shared" si="132"/>
        <v>- - -</v>
      </c>
      <c r="EN107" s="74" t="str">
        <f t="shared" si="133"/>
        <v>---</v>
      </c>
      <c r="EO107" s="84"/>
    </row>
    <row r="108" spans="1:174" s="75" customFormat="1" ht="11.25" customHeight="1" x14ac:dyDescent="0.25">
      <c r="A108" s="100">
        <v>703</v>
      </c>
      <c r="B108" s="296">
        <v>45</v>
      </c>
      <c r="C108" s="523"/>
      <c r="D108" s="523" t="str">
        <f t="shared" si="90"/>
        <v>Ông</v>
      </c>
      <c r="E108" s="524" t="s">
        <v>289</v>
      </c>
      <c r="F108" s="523" t="s">
        <v>378</v>
      </c>
      <c r="G108" s="510" t="s">
        <v>269</v>
      </c>
      <c r="H108" s="179" t="s">
        <v>359</v>
      </c>
      <c r="I108" s="510">
        <v>8</v>
      </c>
      <c r="J108" s="179" t="s">
        <v>359</v>
      </c>
      <c r="K108" s="524">
        <v>1978</v>
      </c>
      <c r="L108" s="157" t="s">
        <v>451</v>
      </c>
      <c r="M108" s="526" t="str">
        <f t="shared" si="91"/>
        <v>VC</v>
      </c>
      <c r="N108" s="163"/>
      <c r="O108" s="509" t="str">
        <f t="shared" si="92"/>
        <v>CVụ</v>
      </c>
      <c r="P108" s="524" t="s">
        <v>249</v>
      </c>
      <c r="Q108" s="296" t="str">
        <f>VLOOKUP(P108,'[1]- DLiêu Gốc (Không sửa)'!$C$2:$H$116,2,0)</f>
        <v>0,6</v>
      </c>
      <c r="R108" s="524" t="s">
        <v>581</v>
      </c>
      <c r="S108" s="521" t="s">
        <v>566</v>
      </c>
      <c r="T108" s="150" t="str">
        <f>VLOOKUP(Y108,'- DLiêu Gốc -'!$C$2:$H$60,5,0)</f>
        <v>A2</v>
      </c>
      <c r="U108" s="151" t="str">
        <f>VLOOKUP(Y108,'- DLiêu Gốc -'!$C$2:$H$60,6,0)</f>
        <v>A2.1</v>
      </c>
      <c r="V108" s="537" t="s">
        <v>424</v>
      </c>
      <c r="W108" s="295" t="str">
        <f t="shared" si="93"/>
        <v>Giảng viên chính (hạng II)</v>
      </c>
      <c r="X108" s="537" t="str">
        <f t="shared" si="94"/>
        <v>V.07.01.02</v>
      </c>
      <c r="Y108" s="317" t="s">
        <v>431</v>
      </c>
      <c r="Z108" s="317" t="str">
        <f>VLOOKUP(Y108,'- DLiêu Gốc -'!$C$1:$H$133,2,0)</f>
        <v>V.07.01.02</v>
      </c>
      <c r="AA108" s="526" t="str">
        <f t="shared" si="95"/>
        <v>Lương</v>
      </c>
      <c r="AB108" s="152">
        <v>0</v>
      </c>
      <c r="AC108" s="409" t="str">
        <f>IF(AD108&gt;0,"/")</f>
        <v>/</v>
      </c>
      <c r="AD108" s="153">
        <v>1</v>
      </c>
      <c r="AE108" s="527">
        <f>BD108+(AB108-1)*BE108</f>
        <v>4.0600000000000005</v>
      </c>
      <c r="AF108" s="330"/>
      <c r="AG108" s="330"/>
      <c r="AH108" s="444"/>
      <c r="AI108" s="405" t="s">
        <v>359</v>
      </c>
      <c r="AJ108" s="155"/>
      <c r="AK108" s="405" t="s">
        <v>359</v>
      </c>
      <c r="AL108" s="760"/>
      <c r="AM108" s="531"/>
      <c r="AN108" s="159"/>
      <c r="AO108" s="154">
        <f t="shared" si="96"/>
        <v>1</v>
      </c>
      <c r="AP108" s="410" t="str">
        <f t="shared" si="97"/>
        <v>/</v>
      </c>
      <c r="AQ108" s="156">
        <f t="shared" si="98"/>
        <v>1</v>
      </c>
      <c r="AR108" s="157">
        <f t="shared" si="99"/>
        <v>4.4000000000000004</v>
      </c>
      <c r="AS108" s="335"/>
      <c r="AT108" s="528" t="s">
        <v>341</v>
      </c>
      <c r="AU108" s="562" t="s">
        <v>359</v>
      </c>
      <c r="AV108" s="529" t="s">
        <v>376</v>
      </c>
      <c r="AW108" s="562" t="s">
        <v>359</v>
      </c>
      <c r="AX108" s="555">
        <v>2018</v>
      </c>
      <c r="AY108" s="550"/>
      <c r="AZ108" s="389"/>
      <c r="BA108" s="391"/>
      <c r="BB108" s="530">
        <f t="shared" si="100"/>
        <v>3</v>
      </c>
      <c r="BC108" s="253">
        <f t="shared" si="101"/>
        <v>-24220</v>
      </c>
      <c r="BD108" s="205">
        <f>VLOOKUP(Y108,'- DLiêu Gốc -'!$C$1:$F$60,3,0)</f>
        <v>4.4000000000000004</v>
      </c>
      <c r="BE108" s="205">
        <f>VLOOKUP(Y108,'- DLiêu Gốc -'!$C$1:$F$60,4,0)</f>
        <v>0.34</v>
      </c>
      <c r="BF108" s="532" t="str">
        <f t="shared" si="102"/>
        <v>PCTN</v>
      </c>
      <c r="BG108" s="534">
        <v>16</v>
      </c>
      <c r="BH108" s="561" t="s">
        <v>332</v>
      </c>
      <c r="BI108" s="56" t="s">
        <v>341</v>
      </c>
      <c r="BJ108" s="1430" t="s">
        <v>359</v>
      </c>
      <c r="BK108" s="341">
        <v>5</v>
      </c>
      <c r="BL108" s="400" t="s">
        <v>359</v>
      </c>
      <c r="BM108" s="178">
        <v>2019</v>
      </c>
      <c r="BN108" s="531"/>
      <c r="BO108" s="162"/>
      <c r="BP108" s="534">
        <f t="shared" si="103"/>
        <v>17</v>
      </c>
      <c r="BQ108" s="347" t="s">
        <v>332</v>
      </c>
      <c r="BR108" s="56" t="s">
        <v>341</v>
      </c>
      <c r="BS108" s="562" t="s">
        <v>359</v>
      </c>
      <c r="BT108" s="560">
        <v>5</v>
      </c>
      <c r="BU108" s="562" t="s">
        <v>359</v>
      </c>
      <c r="BV108" s="46">
        <v>2020</v>
      </c>
      <c r="BW108" s="161"/>
      <c r="BX108" s="125">
        <v>5</v>
      </c>
      <c r="BY108" s="254">
        <f t="shared" si="104"/>
        <v>-24245</v>
      </c>
      <c r="BZ108" s="532" t="str">
        <f t="shared" si="105"/>
        <v>- - -</v>
      </c>
      <c r="CA108" s="316" t="str">
        <f t="shared" si="106"/>
        <v>Chánh Văn phòng Học viện, Trưởng Ban Tổ chức - Cán bộ, Trưởng Phân viện Học viện Hành chính Quốc gia tại Thành phố Hồ Chí Minh</v>
      </c>
      <c r="CB108" s="535" t="str">
        <f t="shared" si="107"/>
        <v>A</v>
      </c>
      <c r="CC108" s="536" t="str">
        <f t="shared" si="108"/>
        <v>=&gt; s</v>
      </c>
      <c r="CD108" s="526">
        <f t="shared" si="109"/>
        <v>24244</v>
      </c>
      <c r="CE108" s="523" t="str">
        <f t="shared" si="110"/>
        <v>S</v>
      </c>
      <c r="CF108" s="523">
        <v>2014</v>
      </c>
      <c r="CG108" s="307"/>
      <c r="CH108" s="523"/>
      <c r="CI108" s="523"/>
      <c r="CJ108" s="523" t="str">
        <f t="shared" si="111"/>
        <v>- - -</v>
      </c>
      <c r="CK108" s="538" t="str">
        <f t="shared" si="112"/>
        <v>- - -</v>
      </c>
      <c r="CL108" s="539"/>
      <c r="CM108" s="540"/>
      <c r="CN108" s="539"/>
      <c r="CO108" s="541"/>
      <c r="CP108" s="538" t="str">
        <f t="shared" si="113"/>
        <v>- - -</v>
      </c>
      <c r="CQ108" s="539"/>
      <c r="CR108" s="540"/>
      <c r="CS108" s="539"/>
      <c r="CT108" s="541"/>
      <c r="CU108" s="542" t="str">
        <f t="shared" si="114"/>
        <v>---</v>
      </c>
      <c r="CV108" s="164" t="str">
        <f t="shared" si="115"/>
        <v>/-/ /-/</v>
      </c>
      <c r="CW108" s="543">
        <f t="shared" si="116"/>
        <v>9</v>
      </c>
      <c r="CX108" s="544">
        <f t="shared" si="117"/>
        <v>2038</v>
      </c>
      <c r="CY108" s="543">
        <f t="shared" si="118"/>
        <v>6</v>
      </c>
      <c r="CZ108" s="544">
        <f t="shared" si="119"/>
        <v>2038</v>
      </c>
      <c r="DA108" s="543">
        <f t="shared" si="120"/>
        <v>3</v>
      </c>
      <c r="DB108" s="544">
        <f t="shared" si="121"/>
        <v>2038</v>
      </c>
      <c r="DC108" s="545" t="str">
        <f t="shared" si="122"/>
        <v>- - -</v>
      </c>
      <c r="DD108" s="546" t="str">
        <f t="shared" si="123"/>
        <v>. .</v>
      </c>
      <c r="DE108" s="312"/>
      <c r="DF108" s="526">
        <f t="shared" si="124"/>
        <v>720</v>
      </c>
      <c r="DG108" s="526">
        <f t="shared" si="125"/>
        <v>-23732</v>
      </c>
      <c r="DH108" s="526">
        <f t="shared" si="126"/>
        <v>-1978</v>
      </c>
      <c r="DI108" s="526" t="str">
        <f t="shared" si="127"/>
        <v>Nam dưới 35</v>
      </c>
      <c r="DJ108" s="526"/>
      <c r="DK108" s="526"/>
      <c r="DL108" s="532" t="str">
        <f t="shared" si="128"/>
        <v>Đến 30</v>
      </c>
      <c r="DM108" s="539" t="str">
        <f t="shared" si="129"/>
        <v>TD</v>
      </c>
      <c r="DN108" s="525">
        <v>2008</v>
      </c>
      <c r="DO108" s="523"/>
      <c r="DP108" s="310"/>
      <c r="DQ108" s="525"/>
      <c r="DR108" s="525"/>
      <c r="DS108" s="166"/>
      <c r="DT108" s="524"/>
      <c r="DU108" s="549"/>
      <c r="DV108" s="550"/>
      <c r="DW108" s="165" t="s">
        <v>76</v>
      </c>
      <c r="DX108" s="315" t="s">
        <v>416</v>
      </c>
      <c r="DY108" s="165" t="s">
        <v>76</v>
      </c>
      <c r="DZ108" s="313" t="s">
        <v>341</v>
      </c>
      <c r="EA108" s="529" t="s">
        <v>359</v>
      </c>
      <c r="EB108" s="529" t="s">
        <v>341</v>
      </c>
      <c r="EC108" s="529" t="s">
        <v>359</v>
      </c>
      <c r="ED108" s="551" t="s">
        <v>377</v>
      </c>
      <c r="EE108" s="529">
        <f t="shared" si="130"/>
        <v>0</v>
      </c>
      <c r="EF108" s="552" t="str">
        <f t="shared" si="131"/>
        <v>- - -</v>
      </c>
      <c r="EG108" s="313" t="s">
        <v>341</v>
      </c>
      <c r="EH108" s="529" t="s">
        <v>359</v>
      </c>
      <c r="EI108" s="529" t="s">
        <v>341</v>
      </c>
      <c r="EJ108" s="529" t="s">
        <v>359</v>
      </c>
      <c r="EK108" s="551" t="s">
        <v>377</v>
      </c>
      <c r="EL108" s="523"/>
      <c r="EM108" s="538">
        <f t="shared" si="132"/>
        <v>3.74</v>
      </c>
      <c r="EN108" s="553" t="str">
        <f t="shared" si="133"/>
        <v>---</v>
      </c>
      <c r="EO108" s="550"/>
      <c r="EP108" s="554"/>
      <c r="EQ108" s="554"/>
      <c r="ER108" s="554"/>
      <c r="ES108" s="554"/>
      <c r="ET108" s="554"/>
      <c r="EU108" s="554"/>
      <c r="EV108" s="554"/>
      <c r="EW108" s="554"/>
      <c r="EX108" s="554"/>
      <c r="EY108" s="554"/>
      <c r="EZ108" s="554"/>
      <c r="FA108" s="554"/>
      <c r="FB108" s="554"/>
      <c r="FC108" s="554"/>
      <c r="FD108" s="554"/>
      <c r="FE108" s="554"/>
      <c r="FF108" s="554"/>
      <c r="FG108" s="554"/>
      <c r="FH108" s="554"/>
      <c r="FI108" s="554"/>
      <c r="FJ108" s="554"/>
      <c r="FK108" s="554"/>
      <c r="FL108" s="554"/>
      <c r="FM108" s="554"/>
    </row>
  </sheetData>
  <autoFilter ref="A15:ER29">
    <filterColumn colId="17" showButton="0"/>
    <filterColumn colId="21" showButton="0"/>
    <filterColumn colId="22" showButton="0"/>
    <filterColumn colId="57" showButton="0"/>
    <filterColumn colId="66" showButton="0"/>
    <filterColumn colId="70" showButton="0"/>
    <filterColumn colId="71" showButton="0"/>
  </autoFilter>
  <mergeCells count="32">
    <mergeCell ref="CB11:CB13"/>
    <mergeCell ref="BW11:BW13"/>
    <mergeCell ref="BV11:BV13"/>
    <mergeCell ref="BO11:BU11"/>
    <mergeCell ref="BS12:BU13"/>
    <mergeCell ref="BX11:BX13"/>
    <mergeCell ref="CA11:CA13"/>
    <mergeCell ref="BO12:BQ13"/>
    <mergeCell ref="D32:R32"/>
    <mergeCell ref="X28:BU28"/>
    <mergeCell ref="X31:BU32"/>
    <mergeCell ref="X29:BU29"/>
    <mergeCell ref="BJ30:BN30"/>
    <mergeCell ref="BG1:BV1"/>
    <mergeCell ref="BG2:BV2"/>
    <mergeCell ref="B1:S1"/>
    <mergeCell ref="B2:S2"/>
    <mergeCell ref="B5:BV5"/>
    <mergeCell ref="W11:Y13"/>
    <mergeCell ref="R11:S13"/>
    <mergeCell ref="B7:BV7"/>
    <mergeCell ref="B8:BV8"/>
    <mergeCell ref="E11:E13"/>
    <mergeCell ref="F11:F13"/>
    <mergeCell ref="BM11:BN12"/>
    <mergeCell ref="B9:E9"/>
    <mergeCell ref="B11:B13"/>
    <mergeCell ref="D11:D13"/>
    <mergeCell ref="BJ12:BL13"/>
    <mergeCell ref="R9:S9"/>
    <mergeCell ref="BF12:BG13"/>
    <mergeCell ref="BF11:BL11"/>
  </mergeCells>
  <conditionalFormatting sqref="BX10">
    <cfRule type="cellIs" dxfId="432" priority="1270" stopIfTrue="1" operator="between">
      <formula>"720"</formula>
      <formula>"720"</formula>
    </cfRule>
    <cfRule type="cellIs" dxfId="431" priority="1271" stopIfTrue="1" operator="between">
      <formula>"660"</formula>
      <formula>"660"</formula>
    </cfRule>
  </conditionalFormatting>
  <conditionalFormatting sqref="DQ30:DQ38 DQ42:DQ43">
    <cfRule type="expression" dxfId="430" priority="1268" stopIfTrue="1">
      <formula>IF(DR30&gt;0,1,0)</formula>
    </cfRule>
    <cfRule type="expression" dxfId="429" priority="1269" stopIfTrue="1">
      <formula>IF(DR30=0,1,0)</formula>
    </cfRule>
  </conditionalFormatting>
  <conditionalFormatting sqref="DW30:DW38 DW42:DW43">
    <cfRule type="cellIs" dxfId="428" priority="1265" stopIfTrue="1" operator="between">
      <formula>"Hưu"</formula>
      <formula>"Hưu"</formula>
    </cfRule>
    <cfRule type="cellIs" dxfId="427" priority="1266" stopIfTrue="1" operator="between">
      <formula>"---"</formula>
      <formula>"---"</formula>
    </cfRule>
    <cfRule type="cellIs" dxfId="426" priority="1267" stopIfTrue="1" operator="between">
      <formula>"Quá"</formula>
      <formula>"Quá"</formula>
    </cfRule>
  </conditionalFormatting>
  <conditionalFormatting sqref="DN30:DN38 DN42:DN43">
    <cfRule type="cellIs" dxfId="425" priority="1262" stopIfTrue="1" operator="between">
      <formula>"Đến"</formula>
      <formula>"Đến"</formula>
    </cfRule>
    <cfRule type="cellIs" dxfId="424" priority="1263" stopIfTrue="1" operator="between">
      <formula>"Quá"</formula>
      <formula>"Quá"</formula>
    </cfRule>
    <cfRule type="expression" dxfId="423" priority="1264" stopIfTrue="1">
      <formula>IF(OR(DN30="Lương Sớm Hưu",DN30="Nâng Ngạch Hưu"),1,0)</formula>
    </cfRule>
  </conditionalFormatting>
  <conditionalFormatting sqref="DV30:DV38 DV42:DV43">
    <cfRule type="expression" dxfId="422" priority="1259" stopIfTrue="1">
      <formula>IF(DV30="Nâg Ngạch sau TB",1,0)</formula>
    </cfRule>
    <cfRule type="expression" dxfId="421" priority="1260" stopIfTrue="1">
      <formula>IF(DV30="Nâg Lươg Sớm sau TB",1,0)</formula>
    </cfRule>
    <cfRule type="expression" dxfId="420" priority="1261" stopIfTrue="1">
      <formula>IF(DV30="Nâg PC TNVK cùng QĐ",1,0)</formula>
    </cfRule>
  </conditionalFormatting>
  <conditionalFormatting sqref="A30:A38 A42:A43">
    <cfRule type="expression" dxfId="419" priority="1257" stopIfTrue="1">
      <formula>IF(#REF!="Hưu",1,0)</formula>
    </cfRule>
    <cfRule type="expression" dxfId="418" priority="1258" stopIfTrue="1">
      <formula>IF(#REF!="Quá",1,0)</formula>
    </cfRule>
  </conditionalFormatting>
  <conditionalFormatting sqref="AV39:AV41 AJ39:AJ41 AJ97:AJ98 AJ100 AJ102:AJ108 AV16:AV27 AJ16:AJ27">
    <cfRule type="expression" dxfId="417" priority="1256" stopIfTrue="1">
      <formula>IF(AND(AP16=0,OR($AA$4-AJ16&gt;0,O$4-AJ16&lt;0)),1,0)</formula>
    </cfRule>
  </conditionalFormatting>
  <conditionalFormatting sqref="AA39:AA41 AA16:AA27">
    <cfRule type="cellIs" dxfId="416" priority="1254" stopIfTrue="1" operator="between">
      <formula>"Đến $"</formula>
      <formula>"Đến $"</formula>
    </cfRule>
    <cfRule type="cellIs" dxfId="415" priority="1255" stopIfTrue="1" operator="between">
      <formula>"Dừng $"</formula>
      <formula>"Dừng $"</formula>
    </cfRule>
  </conditionalFormatting>
  <conditionalFormatting sqref="AP39:AP41 AP16:AP27">
    <cfRule type="cellIs" dxfId="414" priority="1252" stopIfTrue="1" operator="between">
      <formula>"%"</formula>
      <formula>"%"</formula>
    </cfRule>
    <cfRule type="expression" dxfId="413" priority="1253" stopIfTrue="1">
      <formula>IF(AO16=AQ16,1,0)</formula>
    </cfRule>
  </conditionalFormatting>
  <conditionalFormatting sqref="O39:O41 O16:O27">
    <cfRule type="expression" dxfId="412" priority="1251" stopIfTrue="1">
      <formula>IF(P16=0,1,0)</formula>
    </cfRule>
  </conditionalFormatting>
  <conditionalFormatting sqref="DN39:DN41 DN16:DN27">
    <cfRule type="expression" dxfId="411" priority="1248" stopIfTrue="1">
      <formula>IF(FF16="Hưu",1,0)</formula>
    </cfRule>
    <cfRule type="expression" dxfId="410" priority="1249" stopIfTrue="1">
      <formula>IF(FF16="Quá",1,0)</formula>
    </cfRule>
    <cfRule type="expression" dxfId="409" priority="1250" stopIfTrue="1">
      <formula>IF(EN16="Lùi",1,0)</formula>
    </cfRule>
  </conditionalFormatting>
  <conditionalFormatting sqref="DU39:DU41 DU16:DU27">
    <cfRule type="expression" dxfId="408" priority="1246" stopIfTrue="1">
      <formula>IF(FK16="Hưu",1,0)</formula>
    </cfRule>
    <cfRule type="expression" dxfId="407" priority="1247" stopIfTrue="1">
      <formula>IF(FK16="Quá",1,0)</formula>
    </cfRule>
  </conditionalFormatting>
  <conditionalFormatting sqref="CU39:CU41 CU16:CU27">
    <cfRule type="cellIs" dxfId="406" priority="1243" stopIfTrue="1" operator="between">
      <formula>"Hưu"</formula>
      <formula>"Hưu"</formula>
    </cfRule>
    <cfRule type="cellIs" dxfId="405" priority="1244" stopIfTrue="1" operator="between">
      <formula>"---"</formula>
      <formula>"---"</formula>
    </cfRule>
    <cfRule type="cellIs" dxfId="404" priority="1245" stopIfTrue="1" operator="between">
      <formula>"Quá"</formula>
      <formula>"Quá"</formula>
    </cfRule>
  </conditionalFormatting>
  <conditionalFormatting sqref="BE39:BE41 BE16:BE27">
    <cfRule type="expression" dxfId="403" priority="1241" stopIfTrue="1">
      <formula>IF(BE16="Đến %",1,0)</formula>
    </cfRule>
    <cfRule type="expression" dxfId="402" priority="1242" stopIfTrue="1">
      <formula>IF(BE16="Dừng %",1,0)</formula>
    </cfRule>
  </conditionalFormatting>
  <conditionalFormatting sqref="BW39:BW41 BW16:BW27">
    <cfRule type="cellIs" dxfId="401" priority="1240" stopIfTrue="1" operator="between">
      <formula>0</formula>
      <formula>13</formula>
    </cfRule>
  </conditionalFormatting>
  <conditionalFormatting sqref="EC39:EC41 EC16:EC27">
    <cfRule type="expression" dxfId="400" priority="1239" stopIfTrue="1">
      <formula>IF(EC16="Sửa",1,0)</formula>
    </cfRule>
  </conditionalFormatting>
  <conditionalFormatting sqref="N39:N41 N16:N27">
    <cfRule type="cellIs" dxfId="399" priority="1238" stopIfTrue="1" operator="between">
      <formula>"Ko hạn"</formula>
      <formula>"Ko hạn"</formula>
    </cfRule>
  </conditionalFormatting>
  <conditionalFormatting sqref="Q39:Q41 Q16:Q27">
    <cfRule type="expression" dxfId="398" priority="1237">
      <formula>IF(P16=0,1,0)</formula>
    </cfRule>
  </conditionalFormatting>
  <conditionalFormatting sqref="BJ39:BJ41">
    <cfRule type="expression" dxfId="397" priority="1236" stopIfTrue="1">
      <formula>IF(AND(BS39=0,OR($AA$4-BJ39&gt;BS39,$AA$4-BJ39&lt;BS39)),1,0)</formula>
    </cfRule>
  </conditionalFormatting>
  <conditionalFormatting sqref="E39:E41 E16:E27">
    <cfRule type="expression" dxfId="396" priority="1234" stopIfTrue="1">
      <formula>IF(CV16="Hưu",1,0)</formula>
    </cfRule>
    <cfRule type="expression" dxfId="395" priority="1235" stopIfTrue="1">
      <formula>IF(CV16="Quá",1,0)</formula>
    </cfRule>
  </conditionalFormatting>
  <conditionalFormatting sqref="AM39:AM41 AM16:AM27">
    <cfRule type="expression" dxfId="394" priority="1233" stopIfTrue="1">
      <formula>IF(AND(BB16=0,AM16&gt;0),1,0)</formula>
    </cfRule>
  </conditionalFormatting>
  <conditionalFormatting sqref="BS39:BS41">
    <cfRule type="expression" dxfId="393" priority="1232" stopIfTrue="1">
      <formula>IF(AND(BX39=0,OR($AA$4-BS39&gt;BX39,$AA$4-BS39&lt;BX39)),1,0)</formula>
    </cfRule>
  </conditionalFormatting>
  <conditionalFormatting sqref="C39:C41 C16:C27">
    <cfRule type="expression" dxfId="392" priority="1229" stopIfTrue="1">
      <formula>IF(CX16="Hưu",1,0)</formula>
    </cfRule>
    <cfRule type="expression" dxfId="391" priority="1230" stopIfTrue="1">
      <formula>IF(CX16="Quá",1,0)</formula>
    </cfRule>
    <cfRule type="expression" dxfId="390" priority="1231" stopIfTrue="1">
      <formula>IF(BC16="Lùi",1,0)</formula>
    </cfRule>
  </conditionalFormatting>
  <conditionalFormatting sqref="A39:A41 A16:A27">
    <cfRule type="expression" dxfId="389" priority="1226" stopIfTrue="1">
      <formula>IF(CV16="Hưu",1,0)</formula>
    </cfRule>
    <cfRule type="expression" dxfId="388" priority="1227" stopIfTrue="1">
      <formula>IF(CV16="Quá",1,0)</formula>
    </cfRule>
    <cfRule type="expression" dxfId="387" priority="1228" stopIfTrue="1">
      <formula>IF(AM16="Lùi",1,0)</formula>
    </cfRule>
  </conditionalFormatting>
  <conditionalFormatting sqref="AP74:AP78">
    <cfRule type="cellIs" dxfId="386" priority="942" stopIfTrue="1" operator="between">
      <formula>"%"</formula>
      <formula>"%"</formula>
    </cfRule>
  </conditionalFormatting>
  <conditionalFormatting sqref="AB67 AB46 AB70:AB73 AB75:AB78">
    <cfRule type="cellIs" dxfId="385" priority="932" stopIfTrue="1" operator="between">
      <formula>0</formula>
      <formula>0</formula>
    </cfRule>
  </conditionalFormatting>
  <conditionalFormatting sqref="CV78 CV75 CV46 CV67:CV72">
    <cfRule type="cellIs" dxfId="384" priority="929" stopIfTrue="1" operator="between">
      <formula>"Hưu"</formula>
      <formula>"Hưu"</formula>
    </cfRule>
    <cfRule type="cellIs" dxfId="383" priority="930" stopIfTrue="1" operator="between">
      <formula>"---"</formula>
      <formula>"---"</formula>
    </cfRule>
    <cfRule type="cellIs" dxfId="382" priority="931" stopIfTrue="1" operator="between">
      <formula>"Quá"</formula>
      <formula>"Quá"</formula>
    </cfRule>
  </conditionalFormatting>
  <conditionalFormatting sqref="BG78 BG75 BG67 BG46 BG69:BG72">
    <cfRule type="cellIs" dxfId="381" priority="928" stopIfTrue="1" operator="between">
      <formula>4</formula>
      <formula>4</formula>
    </cfRule>
  </conditionalFormatting>
  <conditionalFormatting sqref="AA78 AA75 AA46 AA67:AA72">
    <cfRule type="cellIs" dxfId="380" priority="924" stopIfTrue="1" operator="between">
      <formula>"Đến $"</formula>
      <formula>"Đến $"</formula>
    </cfRule>
    <cfRule type="cellIs" dxfId="379" priority="925" stopIfTrue="1" operator="between">
      <formula>"Dừng $"</formula>
      <formula>"Dừng $"</formula>
    </cfRule>
  </conditionalFormatting>
  <conditionalFormatting sqref="BX46 BX67:BX78">
    <cfRule type="cellIs" dxfId="378" priority="923" stopIfTrue="1" operator="between">
      <formula>0</formula>
      <formula>13</formula>
    </cfRule>
  </conditionalFormatting>
  <conditionalFormatting sqref="CV73 CV76:CV77">
    <cfRule type="cellIs" dxfId="377" priority="906" stopIfTrue="1" operator="between">
      <formula>"Hưu"</formula>
      <formula>"Hưu"</formula>
    </cfRule>
    <cfRule type="cellIs" dxfId="376" priority="907" stopIfTrue="1" operator="between">
      <formula>"---"</formula>
      <formula>"---"</formula>
    </cfRule>
    <cfRule type="cellIs" dxfId="375" priority="908" stopIfTrue="1" operator="between">
      <formula>"Quá"</formula>
      <formula>"Quá"</formula>
    </cfRule>
  </conditionalFormatting>
  <conditionalFormatting sqref="BG73 BG76:BG77">
    <cfRule type="cellIs" dxfId="374" priority="905" stopIfTrue="1" operator="between">
      <formula>4</formula>
      <formula>4</formula>
    </cfRule>
  </conditionalFormatting>
  <conditionalFormatting sqref="AA73 AA76:AA77">
    <cfRule type="cellIs" dxfId="373" priority="901" stopIfTrue="1" operator="between">
      <formula>"Đến $"</formula>
      <formula>"Đến $"</formula>
    </cfRule>
    <cfRule type="cellIs" dxfId="372" priority="902" stopIfTrue="1" operator="between">
      <formula>"Dừng $"</formula>
      <formula>"Dừng $"</formula>
    </cfRule>
  </conditionalFormatting>
  <conditionalFormatting sqref="CV74">
    <cfRule type="cellIs" dxfId="371" priority="889" stopIfTrue="1" operator="between">
      <formula>"Hưu"</formula>
      <formula>"Hưu"</formula>
    </cfRule>
    <cfRule type="cellIs" dxfId="370" priority="890" stopIfTrue="1" operator="between">
      <formula>"---"</formula>
      <formula>"---"</formula>
    </cfRule>
    <cfRule type="cellIs" dxfId="369" priority="891" stopIfTrue="1" operator="between">
      <formula>"Quá"</formula>
      <formula>"Quá"</formula>
    </cfRule>
  </conditionalFormatting>
  <conditionalFormatting sqref="BG74">
    <cfRule type="cellIs" dxfId="368" priority="888" stopIfTrue="1" operator="between">
      <formula>4</formula>
      <formula>4</formula>
    </cfRule>
  </conditionalFormatting>
  <conditionalFormatting sqref="AA74">
    <cfRule type="cellIs" dxfId="367" priority="884" stopIfTrue="1" operator="between">
      <formula>"Đến $"</formula>
      <formula>"Đến $"</formula>
    </cfRule>
    <cfRule type="cellIs" dxfId="366" priority="885" stopIfTrue="1" operator="between">
      <formula>"Dừng $"</formula>
      <formula>"Dừng $"</formula>
    </cfRule>
  </conditionalFormatting>
  <conditionalFormatting sqref="AG67:AG68 AG70:AG73">
    <cfRule type="cellIs" dxfId="365" priority="881" stopIfTrue="1" operator="between">
      <formula>"%"</formula>
      <formula>"%"</formula>
    </cfRule>
  </conditionalFormatting>
  <conditionalFormatting sqref="AG46">
    <cfRule type="cellIs" dxfId="364" priority="879" stopIfTrue="1" operator="between">
      <formula>"%"</formula>
      <formula>"%"</formula>
    </cfRule>
  </conditionalFormatting>
  <conditionalFormatting sqref="DW47:DW48">
    <cfRule type="expression" dxfId="363" priority="744" stopIfTrue="1">
      <formula>IF(DV47=0,1,0)</formula>
    </cfRule>
  </conditionalFormatting>
  <conditionalFormatting sqref="E47:E48 L47:S49">
    <cfRule type="expression" dxfId="362" priority="742" stopIfTrue="1">
      <formula>IF(CW47="Hưu",1,0)</formula>
    </cfRule>
    <cfRule type="expression" dxfId="361" priority="743" stopIfTrue="1">
      <formula>IF(CW47="Quá",1,0)</formula>
    </cfRule>
  </conditionalFormatting>
  <conditionalFormatting sqref="DO47:DO49">
    <cfRule type="expression" dxfId="360" priority="739" stopIfTrue="1">
      <formula>IF(FI47="Hưu",1,0)</formula>
    </cfRule>
    <cfRule type="expression" dxfId="359" priority="740" stopIfTrue="1">
      <formula>IF(FI47="Quá",1,0)</formula>
    </cfRule>
    <cfRule type="expression" dxfId="358" priority="741" stopIfTrue="1">
      <formula>IF(EQ47="Lùi",1,0)</formula>
    </cfRule>
  </conditionalFormatting>
  <conditionalFormatting sqref="DV49">
    <cfRule type="expression" dxfId="357" priority="737" stopIfTrue="1">
      <formula>IF(FN49="Hưu",1,0)</formula>
    </cfRule>
    <cfRule type="expression" dxfId="356" priority="738" stopIfTrue="1">
      <formula>IF(FN49="Quá",1,0)</formula>
    </cfRule>
  </conditionalFormatting>
  <conditionalFormatting sqref="AB47:AB48">
    <cfRule type="cellIs" dxfId="355" priority="734" stopIfTrue="1" operator="between">
      <formula>0</formula>
      <formula>0</formula>
    </cfRule>
    <cfRule type="expression" dxfId="354" priority="735" stopIfTrue="1">
      <formula>IF(AND(AD47&gt;AB47,AB47&gt;0),1,0)</formula>
    </cfRule>
    <cfRule type="expression" dxfId="353" priority="736" stopIfTrue="1">
      <formula>IF(AD47&lt;AB47,1,0)</formula>
    </cfRule>
  </conditionalFormatting>
  <conditionalFormatting sqref="CV47:CV49">
    <cfRule type="cellIs" dxfId="352" priority="731" stopIfTrue="1" operator="between">
      <formula>"Hưu"</formula>
      <formula>"Hưu"</formula>
    </cfRule>
    <cfRule type="cellIs" dxfId="351" priority="732" stopIfTrue="1" operator="between">
      <formula>"---"</formula>
      <formula>"---"</formula>
    </cfRule>
    <cfRule type="cellIs" dxfId="350" priority="733" stopIfTrue="1" operator="between">
      <formula>"Quá"</formula>
      <formula>"Quá"</formula>
    </cfRule>
  </conditionalFormatting>
  <conditionalFormatting sqref="BG47:BG48">
    <cfRule type="cellIs" dxfId="349" priority="730" stopIfTrue="1" operator="between">
      <formula>4</formula>
      <formula>4</formula>
    </cfRule>
  </conditionalFormatting>
  <conditionalFormatting sqref="BF47:BF49">
    <cfRule type="expression" dxfId="348" priority="728" stopIfTrue="1">
      <formula>IF(BF47="Đến %",1,0)</formula>
    </cfRule>
    <cfRule type="expression" dxfId="347" priority="729" stopIfTrue="1">
      <formula>IF(BF47="Dừng %",1,0)</formula>
    </cfRule>
  </conditionalFormatting>
  <conditionalFormatting sqref="AA47:AA49">
    <cfRule type="cellIs" dxfId="346" priority="726" stopIfTrue="1" operator="between">
      <formula>"Đến $"</formula>
      <formula>"Đến $"</formula>
    </cfRule>
    <cfRule type="cellIs" dxfId="345" priority="727" stopIfTrue="1" operator="between">
      <formula>"Dừng $"</formula>
      <formula>"Dừng $"</formula>
    </cfRule>
  </conditionalFormatting>
  <conditionalFormatting sqref="BX47:BX49">
    <cfRule type="cellIs" dxfId="344" priority="725" stopIfTrue="1" operator="between">
      <formula>0</formula>
      <formula>13</formula>
    </cfRule>
  </conditionalFormatting>
  <conditionalFormatting sqref="AM47:AM49">
    <cfRule type="expression" dxfId="343" priority="724" stopIfTrue="1">
      <formula>IF(AND(BC47=0,AM47&gt;0),1,0)</formula>
    </cfRule>
  </conditionalFormatting>
  <conditionalFormatting sqref="EF47:EF49">
    <cfRule type="expression" dxfId="342" priority="723" stopIfTrue="1">
      <formula>IF(EF47="Sửa",1,0)</formula>
    </cfRule>
  </conditionalFormatting>
  <conditionalFormatting sqref="BT47:BT49">
    <cfRule type="expression" dxfId="341" priority="722" stopIfTrue="1">
      <formula>IF(AND(BY47=0,OR($AA$4-BT47&gt;BY47,$AA$4-BT47&lt;BY47)),1,0)</formula>
    </cfRule>
  </conditionalFormatting>
  <conditionalFormatting sqref="BN47:BN49">
    <cfRule type="expression" dxfId="340" priority="721" stopIfTrue="1">
      <formula>IF(AND(BY47=0,BN47&gt;0),1,0)</formula>
    </cfRule>
  </conditionalFormatting>
  <conditionalFormatting sqref="BJ47:BK49">
    <cfRule type="expression" dxfId="339" priority="720" stopIfTrue="1">
      <formula>IF(AND(BS47=0,OR($AA$4-BJ47&gt;BS47,$AA$4-BJ47&lt;BS47)),1,0)</formula>
    </cfRule>
  </conditionalFormatting>
  <conditionalFormatting sqref="AJ79:AJ82 AV79:AV82 AJ84:AJ92 AJ94:AJ96 AJ99 AJ101 AV84:AV108 AV47:AV56 AJ47:AJ56 AV58:AV66 AJ58:AJ66">
    <cfRule type="expression" dxfId="338" priority="719" stopIfTrue="1">
      <formula>IF(AND(AQ47=0,OR($AA$4-AJ47&gt;0,O$4-AJ47&lt;0)),1,0)</formula>
    </cfRule>
  </conditionalFormatting>
  <conditionalFormatting sqref="BR47:BR49">
    <cfRule type="expression" dxfId="337" priority="718" stopIfTrue="1">
      <formula>IF(AND(BO47=0,OR($AA$4-BR47&gt;BO47,$AA$4-BR47&lt;BO47)),1,0)</formula>
    </cfRule>
  </conditionalFormatting>
  <conditionalFormatting sqref="C47:C49">
    <cfRule type="expression" dxfId="336" priority="715" stopIfTrue="1">
      <formula>IF(CY47="Hưu",1,0)</formula>
    </cfRule>
    <cfRule type="expression" dxfId="335" priority="716" stopIfTrue="1">
      <formula>IF(CY47="Quá",1,0)</formula>
    </cfRule>
    <cfRule type="expression" dxfId="334" priority="717" stopIfTrue="1">
      <formula>IF(BD47="Lùi",1,0)</formula>
    </cfRule>
  </conditionalFormatting>
  <conditionalFormatting sqref="A47:A49">
    <cfRule type="expression" dxfId="333" priority="712" stopIfTrue="1">
      <formula>IF(CW47="Hưu",1,0)</formula>
    </cfRule>
    <cfRule type="expression" dxfId="332" priority="713" stopIfTrue="1">
      <formula>IF(CW47="Quá",1,0)</formula>
    </cfRule>
    <cfRule type="expression" dxfId="331" priority="714" stopIfTrue="1">
      <formula>IF(AM47="Lùi",1,0)</formula>
    </cfRule>
  </conditionalFormatting>
  <conditionalFormatting sqref="AG49">
    <cfRule type="cellIs" dxfId="330" priority="710" stopIfTrue="1" operator="between">
      <formula>"%"</formula>
      <formula>"%"</formula>
    </cfRule>
    <cfRule type="expression" dxfId="329" priority="711" stopIfTrue="1">
      <formula>IF(AF49=AQ49,1,0)</formula>
    </cfRule>
  </conditionalFormatting>
  <conditionalFormatting sqref="AG47:AG48">
    <cfRule type="cellIs" dxfId="328" priority="708" stopIfTrue="1" operator="between">
      <formula>"%"</formula>
      <formula>"%"</formula>
    </cfRule>
    <cfRule type="expression" dxfId="327" priority="709" stopIfTrue="1">
      <formula>IF(AF47=AR47,1,0)</formula>
    </cfRule>
  </conditionalFormatting>
  <conditionalFormatting sqref="DW79:DW80">
    <cfRule type="expression" dxfId="326" priority="705" stopIfTrue="1">
      <formula>IF(DV79=0,1,0)</formula>
    </cfRule>
  </conditionalFormatting>
  <conditionalFormatting sqref="AP93:AP108">
    <cfRule type="cellIs" dxfId="325" priority="703" stopIfTrue="1" operator="between">
      <formula>"%"</formula>
      <formula>"%"</formula>
    </cfRule>
    <cfRule type="expression" dxfId="324" priority="704" stopIfTrue="1">
      <formula>IF(AO93=AQ93,1,0)</formula>
    </cfRule>
  </conditionalFormatting>
  <conditionalFormatting sqref="E84:E85 V84 E103:E106 V93:W93 Y93:Z93 E89:E92 E87 L84:S93 E95:E101 E108 L98:S108 E79:E80 L79:S82">
    <cfRule type="expression" dxfId="323" priority="701" stopIfTrue="1">
      <formula>IF(CW79="Hưu",1,0)</formula>
    </cfRule>
    <cfRule type="expression" dxfId="322" priority="702" stopIfTrue="1">
      <formula>IF(CW79="Quá",1,0)</formula>
    </cfRule>
  </conditionalFormatting>
  <conditionalFormatting sqref="DO97:DO100 DO93:DO94 DO102 DO86:DO91 DO107:DO108 DO79:DO82">
    <cfRule type="expression" dxfId="321" priority="698" stopIfTrue="1">
      <formula>IF(FI79="Hưu",1,0)</formula>
    </cfRule>
    <cfRule type="expression" dxfId="320" priority="699" stopIfTrue="1">
      <formula>IF(FI79="Quá",1,0)</formula>
    </cfRule>
    <cfRule type="expression" dxfId="319" priority="700" stopIfTrue="1">
      <formula>IF(EQ79="Lùi",1,0)</formula>
    </cfRule>
  </conditionalFormatting>
  <conditionalFormatting sqref="DV81 DV84:DV85 DV103:DV106 DV89:DV92 DV87 DV95:DV101 DV108">
    <cfRule type="expression" dxfId="318" priority="696" stopIfTrue="1">
      <formula>IF(FN81="Hưu",1,0)</formula>
    </cfRule>
    <cfRule type="expression" dxfId="317" priority="697" stopIfTrue="1">
      <formula>IF(FN81="Quá",1,0)</formula>
    </cfRule>
  </conditionalFormatting>
  <conditionalFormatting sqref="AB84:AB86 AB82 AB89:AB92 AB94:AB108 AB79:AB80">
    <cfRule type="cellIs" dxfId="316" priority="693" stopIfTrue="1" operator="between">
      <formula>0</formula>
      <formula>0</formula>
    </cfRule>
    <cfRule type="expression" dxfId="315" priority="694" stopIfTrue="1">
      <formula>IF(AND(AD79&gt;AB79,AB79&gt;0),1,0)</formula>
    </cfRule>
    <cfRule type="expression" dxfId="314" priority="695" stopIfTrue="1">
      <formula>IF(AD79&lt;AB79,1,0)</formula>
    </cfRule>
  </conditionalFormatting>
  <conditionalFormatting sqref="CV108 CV101:CV104 CV84:CV91 CV94:CV97 CV79:CV82">
    <cfRule type="cellIs" dxfId="313" priority="690" stopIfTrue="1" operator="between">
      <formula>"Hưu"</formula>
      <formula>"Hưu"</formula>
    </cfRule>
    <cfRule type="cellIs" dxfId="312" priority="691" stopIfTrue="1" operator="between">
      <formula>"---"</formula>
      <formula>"---"</formula>
    </cfRule>
    <cfRule type="cellIs" dxfId="311" priority="692" stopIfTrue="1" operator="between">
      <formula>"Quá"</formula>
      <formula>"Quá"</formula>
    </cfRule>
  </conditionalFormatting>
  <conditionalFormatting sqref="BG82 BG84:BG86 BG101:BG104 BG88:BG91 BG94:BG97 BG79:BG80">
    <cfRule type="cellIs" dxfId="310" priority="689" stopIfTrue="1" operator="between">
      <formula>4</formula>
      <formula>4</formula>
    </cfRule>
  </conditionalFormatting>
  <conditionalFormatting sqref="BF108 BF101:BF104 BF84:BF91 BF94:BF97 BF79:BF82">
    <cfRule type="expression" dxfId="309" priority="687" stopIfTrue="1">
      <formula>IF(BF79="Đến %",1,0)</formula>
    </cfRule>
    <cfRule type="expression" dxfId="308" priority="688" stopIfTrue="1">
      <formula>IF(BF79="Dừng %",1,0)</formula>
    </cfRule>
  </conditionalFormatting>
  <conditionalFormatting sqref="AA107:AA108 AA101:AA104 AA84:AA91 AA94:AA97 AA79:AA82">
    <cfRule type="cellIs" dxfId="307" priority="685" stopIfTrue="1" operator="between">
      <formula>"Đến $"</formula>
      <formula>"Đến $"</formula>
    </cfRule>
    <cfRule type="cellIs" dxfId="306" priority="686" stopIfTrue="1" operator="between">
      <formula>"Dừng $"</formula>
      <formula>"Dừng $"</formula>
    </cfRule>
  </conditionalFormatting>
  <conditionalFormatting sqref="BX107:BX108 BX101:BX104 BX84:BX99 BX79:BX82">
    <cfRule type="cellIs" dxfId="305" priority="684" stopIfTrue="1" operator="between">
      <formula>0</formula>
      <formula>13</formula>
    </cfRule>
  </conditionalFormatting>
  <conditionalFormatting sqref="AM84:AM108 AM79:AM82">
    <cfRule type="expression" dxfId="304" priority="683" stopIfTrue="1">
      <formula>IF(AND(BC79=0,AM79&gt;0),1,0)</formula>
    </cfRule>
  </conditionalFormatting>
  <conditionalFormatting sqref="EF108 EF101:EF104 EF84:EF91 EF94:EF97 EF79:EF82">
    <cfRule type="expression" dxfId="303" priority="682" stopIfTrue="1">
      <formula>IF(EF79="Sửa",1,0)</formula>
    </cfRule>
  </conditionalFormatting>
  <conditionalFormatting sqref="BT84:BT108 BT79:BT82">
    <cfRule type="expression" dxfId="302" priority="681" stopIfTrue="1">
      <formula>IF(AND(BY79=0,OR($AA$4-BT79&gt;BY79,$AA$4-BT79&lt;BY79)),1,0)</formula>
    </cfRule>
  </conditionalFormatting>
  <conditionalFormatting sqref="BN84:BN108 BN79:BN82">
    <cfRule type="expression" dxfId="301" priority="680" stopIfTrue="1">
      <formula>IF(AND(BY79=0,BN79&gt;0),1,0)</formula>
    </cfRule>
  </conditionalFormatting>
  <conditionalFormatting sqref="CV107">
    <cfRule type="cellIs" dxfId="300" priority="677" stopIfTrue="1" operator="between">
      <formula>"Hưu"</formula>
      <formula>"Hưu"</formula>
    </cfRule>
    <cfRule type="cellIs" dxfId="299" priority="678" stopIfTrue="1" operator="between">
      <formula>"---"</formula>
      <formula>"---"</formula>
    </cfRule>
    <cfRule type="cellIs" dxfId="298" priority="679" stopIfTrue="1" operator="between">
      <formula>"Quá"</formula>
      <formula>"Quá"</formula>
    </cfRule>
  </conditionalFormatting>
  <conditionalFormatting sqref="BG107">
    <cfRule type="cellIs" dxfId="297" priority="676" stopIfTrue="1" operator="between">
      <formula>4</formula>
      <formula>4</formula>
    </cfRule>
  </conditionalFormatting>
  <conditionalFormatting sqref="BF107">
    <cfRule type="expression" dxfId="296" priority="674" stopIfTrue="1">
      <formula>IF(BF107="Đến %",1,0)</formula>
    </cfRule>
    <cfRule type="expression" dxfId="295" priority="675" stopIfTrue="1">
      <formula>IF(BF107="Dừng %",1,0)</formula>
    </cfRule>
  </conditionalFormatting>
  <conditionalFormatting sqref="EF107">
    <cfRule type="expression" dxfId="294" priority="673" stopIfTrue="1">
      <formula>IF(EF107="Sửa",1,0)</formula>
    </cfRule>
  </conditionalFormatting>
  <conditionalFormatting sqref="CV106">
    <cfRule type="cellIs" dxfId="293" priority="670" stopIfTrue="1" operator="between">
      <formula>"Hưu"</formula>
      <formula>"Hưu"</formula>
    </cfRule>
    <cfRule type="cellIs" dxfId="292" priority="671" stopIfTrue="1" operator="between">
      <formula>"---"</formula>
      <formula>"---"</formula>
    </cfRule>
    <cfRule type="cellIs" dxfId="291" priority="672" stopIfTrue="1" operator="between">
      <formula>"Quá"</formula>
      <formula>"Quá"</formula>
    </cfRule>
  </conditionalFormatting>
  <conditionalFormatting sqref="BG106">
    <cfRule type="cellIs" dxfId="290" priority="669" stopIfTrue="1" operator="between">
      <formula>4</formula>
      <formula>4</formula>
    </cfRule>
  </conditionalFormatting>
  <conditionalFormatting sqref="BF106">
    <cfRule type="expression" dxfId="289" priority="667" stopIfTrue="1">
      <formula>IF(BF106="Đến %",1,0)</formula>
    </cfRule>
    <cfRule type="expression" dxfId="288" priority="668" stopIfTrue="1">
      <formula>IF(BF106="Dừng %",1,0)</formula>
    </cfRule>
  </conditionalFormatting>
  <conditionalFormatting sqref="AA106">
    <cfRule type="cellIs" dxfId="287" priority="665" stopIfTrue="1" operator="between">
      <formula>"Đến $"</formula>
      <formula>"Đến $"</formula>
    </cfRule>
    <cfRule type="cellIs" dxfId="286" priority="666" stopIfTrue="1" operator="between">
      <formula>"Dừng $"</formula>
      <formula>"Dừng $"</formula>
    </cfRule>
  </conditionalFormatting>
  <conditionalFormatting sqref="BX106">
    <cfRule type="cellIs" dxfId="285" priority="664" stopIfTrue="1" operator="between">
      <formula>0</formula>
      <formula>13</formula>
    </cfRule>
  </conditionalFormatting>
  <conditionalFormatting sqref="EF106">
    <cfRule type="expression" dxfId="284" priority="663" stopIfTrue="1">
      <formula>IF(EF106="Sửa",1,0)</formula>
    </cfRule>
  </conditionalFormatting>
  <conditionalFormatting sqref="CV98">
    <cfRule type="cellIs" dxfId="283" priority="660" stopIfTrue="1" operator="between">
      <formula>"Hưu"</formula>
      <formula>"Hưu"</formula>
    </cfRule>
    <cfRule type="cellIs" dxfId="282" priority="661" stopIfTrue="1" operator="between">
      <formula>"---"</formula>
      <formula>"---"</formula>
    </cfRule>
    <cfRule type="cellIs" dxfId="281" priority="662" stopIfTrue="1" operator="between">
      <formula>"Quá"</formula>
      <formula>"Quá"</formula>
    </cfRule>
  </conditionalFormatting>
  <conditionalFormatting sqref="BG98">
    <cfRule type="cellIs" dxfId="280" priority="659" stopIfTrue="1" operator="between">
      <formula>4</formula>
      <formula>4</formula>
    </cfRule>
  </conditionalFormatting>
  <conditionalFormatting sqref="BF98">
    <cfRule type="expression" dxfId="279" priority="657" stopIfTrue="1">
      <formula>IF(BF98="Đến %",1,0)</formula>
    </cfRule>
    <cfRule type="expression" dxfId="278" priority="658" stopIfTrue="1">
      <formula>IF(BF98="Dừng %",1,0)</formula>
    </cfRule>
  </conditionalFormatting>
  <conditionalFormatting sqref="AA98">
    <cfRule type="cellIs" dxfId="277" priority="655" stopIfTrue="1" operator="between">
      <formula>"Đến $"</formula>
      <formula>"Đến $"</formula>
    </cfRule>
    <cfRule type="cellIs" dxfId="276" priority="656" stopIfTrue="1" operator="between">
      <formula>"Dừng $"</formula>
      <formula>"Dừng $"</formula>
    </cfRule>
  </conditionalFormatting>
  <conditionalFormatting sqref="EF98">
    <cfRule type="expression" dxfId="275" priority="654" stopIfTrue="1">
      <formula>IF(EF98="Sửa",1,0)</formula>
    </cfRule>
  </conditionalFormatting>
  <conditionalFormatting sqref="CV99:CV100">
    <cfRule type="cellIs" dxfId="274" priority="651" stopIfTrue="1" operator="between">
      <formula>"Hưu"</formula>
      <formula>"Hưu"</formula>
    </cfRule>
    <cfRule type="cellIs" dxfId="273" priority="652" stopIfTrue="1" operator="between">
      <formula>"---"</formula>
      <formula>"---"</formula>
    </cfRule>
    <cfRule type="cellIs" dxfId="272" priority="653" stopIfTrue="1" operator="between">
      <formula>"Quá"</formula>
      <formula>"Quá"</formula>
    </cfRule>
  </conditionalFormatting>
  <conditionalFormatting sqref="BG99:BG100">
    <cfRule type="cellIs" dxfId="271" priority="650" stopIfTrue="1" operator="between">
      <formula>4</formula>
      <formula>4</formula>
    </cfRule>
  </conditionalFormatting>
  <conditionalFormatting sqref="BF99:BF100">
    <cfRule type="expression" dxfId="270" priority="648" stopIfTrue="1">
      <formula>IF(BF99="Đến %",1,0)</formula>
    </cfRule>
    <cfRule type="expression" dxfId="269" priority="649" stopIfTrue="1">
      <formula>IF(BF99="Dừng %",1,0)</formula>
    </cfRule>
  </conditionalFormatting>
  <conditionalFormatting sqref="AA99:AA100">
    <cfRule type="cellIs" dxfId="268" priority="646" stopIfTrue="1" operator="between">
      <formula>"Đến $"</formula>
      <formula>"Đến $"</formula>
    </cfRule>
    <cfRule type="cellIs" dxfId="267" priority="647" stopIfTrue="1" operator="between">
      <formula>"Dừng $"</formula>
      <formula>"Dừng $"</formula>
    </cfRule>
  </conditionalFormatting>
  <conditionalFormatting sqref="BX100">
    <cfRule type="cellIs" dxfId="266" priority="645" stopIfTrue="1" operator="between">
      <formula>0</formula>
      <formula>13</formula>
    </cfRule>
  </conditionalFormatting>
  <conditionalFormatting sqref="EF99:EF100">
    <cfRule type="expression" dxfId="265" priority="644" stopIfTrue="1">
      <formula>IF(EF99="Sửa",1,0)</formula>
    </cfRule>
  </conditionalFormatting>
  <conditionalFormatting sqref="BI84 BI105 BI101:BK101 BJ97:BK100 BJ93:BK94 BI92:BK92 BJ84:BK91 BI95:BK96 BI108 BJ102:BK108 BJ79:BK82">
    <cfRule type="expression" dxfId="264" priority="643" stopIfTrue="1">
      <formula>IF(AND(BR79=0,OR($AA$4-BI79&gt;BR79,$AA$4-BI79&lt;BR79)),1,0)</formula>
    </cfRule>
  </conditionalFormatting>
  <conditionalFormatting sqref="CV105">
    <cfRule type="cellIs" dxfId="263" priority="640" stopIfTrue="1" operator="between">
      <formula>"Hưu"</formula>
      <formula>"Hưu"</formula>
    </cfRule>
    <cfRule type="cellIs" dxfId="262" priority="641" stopIfTrue="1" operator="between">
      <formula>"---"</formula>
      <formula>"---"</formula>
    </cfRule>
    <cfRule type="cellIs" dxfId="261" priority="642" stopIfTrue="1" operator="between">
      <formula>"Quá"</formula>
      <formula>"Quá"</formula>
    </cfRule>
  </conditionalFormatting>
  <conditionalFormatting sqref="BG105">
    <cfRule type="cellIs" dxfId="260" priority="639" stopIfTrue="1" operator="between">
      <formula>4</formula>
      <formula>4</formula>
    </cfRule>
  </conditionalFormatting>
  <conditionalFormatting sqref="BF105">
    <cfRule type="expression" dxfId="259" priority="637" stopIfTrue="1">
      <formula>IF(BF105="Đến %",1,0)</formula>
    </cfRule>
    <cfRule type="expression" dxfId="258" priority="638" stopIfTrue="1">
      <formula>IF(BF105="Dừng %",1,0)</formula>
    </cfRule>
  </conditionalFormatting>
  <conditionalFormatting sqref="AA105">
    <cfRule type="cellIs" dxfId="257" priority="635" stopIfTrue="1" operator="between">
      <formula>"Đến $"</formula>
      <formula>"Đến $"</formula>
    </cfRule>
    <cfRule type="cellIs" dxfId="256" priority="636" stopIfTrue="1" operator="between">
      <formula>"Dừng $"</formula>
      <formula>"Dừng $"</formula>
    </cfRule>
  </conditionalFormatting>
  <conditionalFormatting sqref="BX105">
    <cfRule type="cellIs" dxfId="255" priority="634" stopIfTrue="1" operator="between">
      <formula>0</formula>
      <formula>13</formula>
    </cfRule>
  </conditionalFormatting>
  <conditionalFormatting sqref="EF105">
    <cfRule type="expression" dxfId="254" priority="633" stopIfTrue="1">
      <formula>IF(EF105="Sửa",1,0)</formula>
    </cfRule>
  </conditionalFormatting>
  <conditionalFormatting sqref="CV92">
    <cfRule type="cellIs" dxfId="253" priority="630" stopIfTrue="1" operator="between">
      <formula>"Hưu"</formula>
      <formula>"Hưu"</formula>
    </cfRule>
    <cfRule type="cellIs" dxfId="252" priority="631" stopIfTrue="1" operator="between">
      <formula>"---"</formula>
      <formula>"---"</formula>
    </cfRule>
    <cfRule type="cellIs" dxfId="251" priority="632" stopIfTrue="1" operator="between">
      <formula>"Quá"</formula>
      <formula>"Quá"</formula>
    </cfRule>
  </conditionalFormatting>
  <conditionalFormatting sqref="BG92">
    <cfRule type="cellIs" dxfId="250" priority="629" stopIfTrue="1" operator="between">
      <formula>4</formula>
      <formula>4</formula>
    </cfRule>
  </conditionalFormatting>
  <conditionalFormatting sqref="BF92">
    <cfRule type="expression" dxfId="249" priority="627" stopIfTrue="1">
      <formula>IF(BF92="Đến %",1,0)</formula>
    </cfRule>
    <cfRule type="expression" dxfId="248" priority="628" stopIfTrue="1">
      <formula>IF(BF92="Dừng %",1,0)</formula>
    </cfRule>
  </conditionalFormatting>
  <conditionalFormatting sqref="AA92">
    <cfRule type="cellIs" dxfId="247" priority="625" stopIfTrue="1" operator="between">
      <formula>"Đến $"</formula>
      <formula>"Đến $"</formula>
    </cfRule>
    <cfRule type="cellIs" dxfId="246" priority="626" stopIfTrue="1" operator="between">
      <formula>"Dừng $"</formula>
      <formula>"Dừng $"</formula>
    </cfRule>
  </conditionalFormatting>
  <conditionalFormatting sqref="EF92">
    <cfRule type="expression" dxfId="245" priority="624" stopIfTrue="1">
      <formula>IF(EF92="Sửa",1,0)</formula>
    </cfRule>
  </conditionalFormatting>
  <conditionalFormatting sqref="BR84:BR108 BR79:BR82">
    <cfRule type="expression" dxfId="244" priority="622" stopIfTrue="1">
      <formula>IF(AND(BO79=0,OR($AA$4-BR79&gt;BO79,$AA$4-BR79&lt;BO79)),1,0)</formula>
    </cfRule>
  </conditionalFormatting>
  <conditionalFormatting sqref="C84:C108 C79:C82">
    <cfRule type="expression" dxfId="243" priority="619" stopIfTrue="1">
      <formula>IF(CY79="Hưu",1,0)</formula>
    </cfRule>
    <cfRule type="expression" dxfId="242" priority="620" stopIfTrue="1">
      <formula>IF(CY79="Quá",1,0)</formula>
    </cfRule>
    <cfRule type="expression" dxfId="241" priority="621" stopIfTrue="1">
      <formula>IF(BD79="Lùi",1,0)</formula>
    </cfRule>
  </conditionalFormatting>
  <conditionalFormatting sqref="A84:A108 A79:A82">
    <cfRule type="expression" dxfId="240" priority="616" stopIfTrue="1">
      <formula>IF(CW79="Hưu",1,0)</formula>
    </cfRule>
    <cfRule type="expression" dxfId="239" priority="617" stopIfTrue="1">
      <formula>IF(CW79="Quá",1,0)</formula>
    </cfRule>
    <cfRule type="expression" dxfId="238" priority="618" stopIfTrue="1">
      <formula>IF(AM79="Lùi",1,0)</formula>
    </cfRule>
  </conditionalFormatting>
  <conditionalFormatting sqref="CV93">
    <cfRule type="cellIs" dxfId="237" priority="613" stopIfTrue="1" operator="between">
      <formula>"Hưu"</formula>
      <formula>"Hưu"</formula>
    </cfRule>
    <cfRule type="cellIs" dxfId="236" priority="614" stopIfTrue="1" operator="between">
      <formula>"---"</formula>
      <formula>"---"</formula>
    </cfRule>
    <cfRule type="cellIs" dxfId="235" priority="615" stopIfTrue="1" operator="between">
      <formula>"Quá"</formula>
      <formula>"Quá"</formula>
    </cfRule>
  </conditionalFormatting>
  <conditionalFormatting sqref="BG93">
    <cfRule type="cellIs" dxfId="234" priority="612" stopIfTrue="1" operator="between">
      <formula>4</formula>
      <formula>4</formula>
    </cfRule>
  </conditionalFormatting>
  <conditionalFormatting sqref="BF93">
    <cfRule type="expression" dxfId="233" priority="610" stopIfTrue="1">
      <formula>IF(BF93="Đến %",1,0)</formula>
    </cfRule>
    <cfRule type="expression" dxfId="232" priority="611" stopIfTrue="1">
      <formula>IF(BF93="Dừng %",1,0)</formula>
    </cfRule>
  </conditionalFormatting>
  <conditionalFormatting sqref="AA93">
    <cfRule type="cellIs" dxfId="231" priority="608" stopIfTrue="1" operator="between">
      <formula>"Đến $"</formula>
      <formula>"Đến $"</formula>
    </cfRule>
    <cfRule type="cellIs" dxfId="230" priority="609" stopIfTrue="1" operator="between">
      <formula>"Dừng $"</formula>
      <formula>"Dừng $"</formula>
    </cfRule>
  </conditionalFormatting>
  <conditionalFormatting sqref="EF93">
    <cfRule type="expression" dxfId="229" priority="607" stopIfTrue="1">
      <formula>IF(EF93="Sửa",1,0)</formula>
    </cfRule>
  </conditionalFormatting>
  <conditionalFormatting sqref="AG84:AG85 AG81:AG82 AG89:AG92 AG87">
    <cfRule type="cellIs" dxfId="228" priority="605" stopIfTrue="1" operator="between">
      <formula>"%"</formula>
      <formula>"%"</formula>
    </cfRule>
    <cfRule type="expression" dxfId="227" priority="606" stopIfTrue="1">
      <formula>IF(AF81=AQ81,1,0)</formula>
    </cfRule>
  </conditionalFormatting>
  <conditionalFormatting sqref="AG79:AG80">
    <cfRule type="cellIs" dxfId="226" priority="603" stopIfTrue="1" operator="between">
      <formula>"%"</formula>
      <formula>"%"</formula>
    </cfRule>
    <cfRule type="expression" dxfId="225" priority="604" stopIfTrue="1">
      <formula>IF(AF79=AR79,1,0)</formula>
    </cfRule>
  </conditionalFormatting>
  <conditionalFormatting sqref="AP65:AP66">
    <cfRule type="cellIs" dxfId="224" priority="321" stopIfTrue="1" operator="between">
      <formula>"%"</formula>
      <formula>"%"</formula>
    </cfRule>
    <cfRule type="expression" dxfId="223" priority="322" stopIfTrue="1">
      <formula>IF(AO65=AQ65,1,0)</formula>
    </cfRule>
  </conditionalFormatting>
  <conditionalFormatting sqref="V65:W65 Y65:Z65 E62:E64 L62:S65">
    <cfRule type="expression" dxfId="222" priority="319" stopIfTrue="1">
      <formula>IF(CW62="Hưu",1,0)</formula>
    </cfRule>
    <cfRule type="expression" dxfId="221" priority="320" stopIfTrue="1">
      <formula>IF(CW62="Quá",1,0)</formula>
    </cfRule>
  </conditionalFormatting>
  <conditionalFormatting sqref="DO65:DO66 DO62:DO63">
    <cfRule type="expression" dxfId="220" priority="316" stopIfTrue="1">
      <formula>IF(FI62="Hưu",1,0)</formula>
    </cfRule>
    <cfRule type="expression" dxfId="219" priority="317" stopIfTrue="1">
      <formula>IF(FI62="Quá",1,0)</formula>
    </cfRule>
    <cfRule type="expression" dxfId="218" priority="318" stopIfTrue="1">
      <formula>IF(EQ62="Lùi",1,0)</formula>
    </cfRule>
  </conditionalFormatting>
  <conditionalFormatting sqref="DV62:DV64">
    <cfRule type="expression" dxfId="217" priority="314" stopIfTrue="1">
      <formula>IF(FN62="Hưu",1,0)</formula>
    </cfRule>
    <cfRule type="expression" dxfId="216" priority="315" stopIfTrue="1">
      <formula>IF(FN62="Quá",1,0)</formula>
    </cfRule>
  </conditionalFormatting>
  <conditionalFormatting sqref="AB62:AB64 AB66">
    <cfRule type="cellIs" dxfId="215" priority="311" stopIfTrue="1" operator="between">
      <formula>0</formula>
      <formula>0</formula>
    </cfRule>
    <cfRule type="expression" dxfId="214" priority="312" stopIfTrue="1">
      <formula>IF(AND(AD62&gt;AB62,AB62&gt;0),1,0)</formula>
    </cfRule>
    <cfRule type="expression" dxfId="213" priority="313" stopIfTrue="1">
      <formula>IF(AD62&lt;AB62,1,0)</formula>
    </cfRule>
  </conditionalFormatting>
  <conditionalFormatting sqref="CV62:CV63 CV66">
    <cfRule type="cellIs" dxfId="212" priority="308" stopIfTrue="1" operator="between">
      <formula>"Hưu"</formula>
      <formula>"Hưu"</formula>
    </cfRule>
    <cfRule type="cellIs" dxfId="211" priority="309" stopIfTrue="1" operator="between">
      <formula>"---"</formula>
      <formula>"---"</formula>
    </cfRule>
    <cfRule type="cellIs" dxfId="210" priority="310" stopIfTrue="1" operator="between">
      <formula>"Quá"</formula>
      <formula>"Quá"</formula>
    </cfRule>
  </conditionalFormatting>
  <conditionalFormatting sqref="BG62:BG63 BG66">
    <cfRule type="cellIs" dxfId="209" priority="307" stopIfTrue="1" operator="between">
      <formula>4</formula>
      <formula>4</formula>
    </cfRule>
  </conditionalFormatting>
  <conditionalFormatting sqref="BF62:BF63 BF66">
    <cfRule type="expression" dxfId="208" priority="305" stopIfTrue="1">
      <formula>IF(BF62="Đến %",1,0)</formula>
    </cfRule>
    <cfRule type="expression" dxfId="207" priority="306" stopIfTrue="1">
      <formula>IF(BF62="Dừng %",1,0)</formula>
    </cfRule>
  </conditionalFormatting>
  <conditionalFormatting sqref="AA62:AA63 AA66">
    <cfRule type="cellIs" dxfId="206" priority="303" stopIfTrue="1" operator="between">
      <formula>"Đến $"</formula>
      <formula>"Đến $"</formula>
    </cfRule>
    <cfRule type="cellIs" dxfId="205" priority="304" stopIfTrue="1" operator="between">
      <formula>"Dừng $"</formula>
      <formula>"Dừng $"</formula>
    </cfRule>
  </conditionalFormatting>
  <conditionalFormatting sqref="BX62:BX66">
    <cfRule type="cellIs" dxfId="204" priority="302" stopIfTrue="1" operator="between">
      <formula>0</formula>
      <formula>13</formula>
    </cfRule>
  </conditionalFormatting>
  <conditionalFormatting sqref="AM62:AM66">
    <cfRule type="expression" dxfId="203" priority="301" stopIfTrue="1">
      <formula>IF(AND(BC62=0,AM62&gt;0),1,0)</formula>
    </cfRule>
  </conditionalFormatting>
  <conditionalFormatting sqref="EF62:EF63 EF66">
    <cfRule type="expression" dxfId="202" priority="300" stopIfTrue="1">
      <formula>IF(EF62="Sửa",1,0)</formula>
    </cfRule>
  </conditionalFormatting>
  <conditionalFormatting sqref="BN62:BN66">
    <cfRule type="expression" dxfId="201" priority="298" stopIfTrue="1">
      <formula>IF(AND(BY62=0,BN62&gt;0),1,0)</formula>
    </cfRule>
  </conditionalFormatting>
  <conditionalFormatting sqref="BJ65:BK66 BI64:BK64 BJ62:BK63">
    <cfRule type="expression" dxfId="200" priority="297" stopIfTrue="1">
      <formula>IF(AND(BR62=0,OR($AA$4-BI62&gt;BR62,$AA$4-BI62&lt;BR62)),1,0)</formula>
    </cfRule>
  </conditionalFormatting>
  <conditionalFormatting sqref="CV64">
    <cfRule type="cellIs" dxfId="199" priority="294" stopIfTrue="1" operator="between">
      <formula>"Hưu"</formula>
      <formula>"Hưu"</formula>
    </cfRule>
    <cfRule type="cellIs" dxfId="198" priority="295" stopIfTrue="1" operator="between">
      <formula>"---"</formula>
      <formula>"---"</formula>
    </cfRule>
    <cfRule type="cellIs" dxfId="197" priority="296" stopIfTrue="1" operator="between">
      <formula>"Quá"</formula>
      <formula>"Quá"</formula>
    </cfRule>
  </conditionalFormatting>
  <conditionalFormatting sqref="BG64">
    <cfRule type="cellIs" dxfId="196" priority="293" stopIfTrue="1" operator="between">
      <formula>4</formula>
      <formula>4</formula>
    </cfRule>
  </conditionalFormatting>
  <conditionalFormatting sqref="BF64">
    <cfRule type="expression" dxfId="195" priority="291" stopIfTrue="1">
      <formula>IF(BF64="Đến %",1,0)</formula>
    </cfRule>
    <cfRule type="expression" dxfId="194" priority="292" stopIfTrue="1">
      <formula>IF(BF64="Dừng %",1,0)</formula>
    </cfRule>
  </conditionalFormatting>
  <conditionalFormatting sqref="AA64">
    <cfRule type="cellIs" dxfId="193" priority="289" stopIfTrue="1" operator="between">
      <formula>"Đến $"</formula>
      <formula>"Đến $"</formula>
    </cfRule>
    <cfRule type="cellIs" dxfId="192" priority="290" stopIfTrue="1" operator="between">
      <formula>"Dừng $"</formula>
      <formula>"Dừng $"</formula>
    </cfRule>
  </conditionalFormatting>
  <conditionalFormatting sqref="EF64">
    <cfRule type="expression" dxfId="191" priority="288" stopIfTrue="1">
      <formula>IF(EF64="Sửa",1,0)</formula>
    </cfRule>
  </conditionalFormatting>
  <conditionalFormatting sqref="BR62:BR66">
    <cfRule type="expression" dxfId="190" priority="286" stopIfTrue="1">
      <formula>IF(AND(BO62=0,OR($AA$4-BR62&gt;BO62,$AA$4-BR62&lt;BO62)),1,0)</formula>
    </cfRule>
  </conditionalFormatting>
  <conditionalFormatting sqref="C62:C66">
    <cfRule type="expression" dxfId="189" priority="283" stopIfTrue="1">
      <formula>IF(CY62="Hưu",1,0)</formula>
    </cfRule>
    <cfRule type="expression" dxfId="188" priority="284" stopIfTrue="1">
      <formula>IF(CY62="Quá",1,0)</formula>
    </cfRule>
    <cfRule type="expression" dxfId="187" priority="285" stopIfTrue="1">
      <formula>IF(BD62="Lùi",1,0)</formula>
    </cfRule>
  </conditionalFormatting>
  <conditionalFormatting sqref="A62:A66">
    <cfRule type="expression" dxfId="186" priority="280" stopIfTrue="1">
      <formula>IF(CW62="Hưu",1,0)</formula>
    </cfRule>
    <cfRule type="expression" dxfId="185" priority="281" stopIfTrue="1">
      <formula>IF(CW62="Quá",1,0)</formula>
    </cfRule>
    <cfRule type="expression" dxfId="184" priority="282" stopIfTrue="1">
      <formula>IF(AM62="Lùi",1,0)</formula>
    </cfRule>
  </conditionalFormatting>
  <conditionalFormatting sqref="CV65">
    <cfRule type="cellIs" dxfId="183" priority="277" stopIfTrue="1" operator="between">
      <formula>"Hưu"</formula>
      <formula>"Hưu"</formula>
    </cfRule>
    <cfRule type="cellIs" dxfId="182" priority="278" stopIfTrue="1" operator="between">
      <formula>"---"</formula>
      <formula>"---"</formula>
    </cfRule>
    <cfRule type="cellIs" dxfId="181" priority="279" stopIfTrue="1" operator="between">
      <formula>"Quá"</formula>
      <formula>"Quá"</formula>
    </cfRule>
  </conditionalFormatting>
  <conditionalFormatting sqref="BG65">
    <cfRule type="cellIs" dxfId="180" priority="276" stopIfTrue="1" operator="between">
      <formula>4</formula>
      <formula>4</formula>
    </cfRule>
  </conditionalFormatting>
  <conditionalFormatting sqref="BF65">
    <cfRule type="expression" dxfId="179" priority="274" stopIfTrue="1">
      <formula>IF(BF65="Đến %",1,0)</formula>
    </cfRule>
    <cfRule type="expression" dxfId="178" priority="275" stopIfTrue="1">
      <formula>IF(BF65="Dừng %",1,0)</formula>
    </cfRule>
  </conditionalFormatting>
  <conditionalFormatting sqref="AA65">
    <cfRule type="cellIs" dxfId="177" priority="272" stopIfTrue="1" operator="between">
      <formula>"Đến $"</formula>
      <formula>"Đến $"</formula>
    </cfRule>
    <cfRule type="cellIs" dxfId="176" priority="273" stopIfTrue="1" operator="between">
      <formula>"Dừng $"</formula>
      <formula>"Dừng $"</formula>
    </cfRule>
  </conditionalFormatting>
  <conditionalFormatting sqref="EF65">
    <cfRule type="expression" dxfId="175" priority="271" stopIfTrue="1">
      <formula>IF(EF65="Sửa",1,0)</formula>
    </cfRule>
  </conditionalFormatting>
  <conditionalFormatting sqref="AG62:AG64">
    <cfRule type="cellIs" dxfId="174" priority="269" stopIfTrue="1" operator="between">
      <formula>"%"</formula>
      <formula>"%"</formula>
    </cfRule>
    <cfRule type="expression" dxfId="173" priority="270" stopIfTrue="1">
      <formula>IF(AF62=AQ62,1,0)</formula>
    </cfRule>
  </conditionalFormatting>
  <conditionalFormatting sqref="DN15">
    <cfRule type="expression" dxfId="172" priority="256" stopIfTrue="1">
      <formula>IF(FF15="Hưu",1,0)</formula>
    </cfRule>
    <cfRule type="expression" dxfId="171" priority="257" stopIfTrue="1">
      <formula>IF(FF15="Quá",1,0)</formula>
    </cfRule>
    <cfRule type="expression" dxfId="170" priority="258" stopIfTrue="1">
      <formula>IF(EN15="Lùi",1,0)</formula>
    </cfRule>
  </conditionalFormatting>
  <conditionalFormatting sqref="DU15">
    <cfRule type="expression" dxfId="169" priority="254" stopIfTrue="1">
      <formula>IF(FK15="Hưu",1,0)</formula>
    </cfRule>
    <cfRule type="expression" dxfId="168" priority="255" stopIfTrue="1">
      <formula>IF(FK15="Quá",1,0)</formula>
    </cfRule>
  </conditionalFormatting>
  <conditionalFormatting sqref="CU15">
    <cfRule type="cellIs" dxfId="167" priority="251" stopIfTrue="1" operator="between">
      <formula>"Hưu"</formula>
      <formula>"Hưu"</formula>
    </cfRule>
    <cfRule type="cellIs" dxfId="166" priority="252" stopIfTrue="1" operator="between">
      <formula>"---"</formula>
      <formula>"---"</formula>
    </cfRule>
    <cfRule type="cellIs" dxfId="165" priority="253" stopIfTrue="1" operator="between">
      <formula>"Quá"</formula>
      <formula>"Quá"</formula>
    </cfRule>
  </conditionalFormatting>
  <conditionalFormatting sqref="BW15">
    <cfRule type="cellIs" dxfId="164" priority="250" stopIfTrue="1" operator="between">
      <formula>0</formula>
      <formula>13</formula>
    </cfRule>
  </conditionalFormatting>
  <conditionalFormatting sqref="EC15">
    <cfRule type="expression" dxfId="163" priority="249" stopIfTrue="1">
      <formula>IF(EC15="Sửa",1,0)</formula>
    </cfRule>
  </conditionalFormatting>
  <conditionalFormatting sqref="C15">
    <cfRule type="expression" dxfId="162" priority="246" stopIfTrue="1">
      <formula>IF(CX15="Hưu",1,0)</formula>
    </cfRule>
    <cfRule type="expression" dxfId="161" priority="247" stopIfTrue="1">
      <formula>IF(CX15="Quá",1,0)</formula>
    </cfRule>
    <cfRule type="expression" dxfId="160" priority="248" stopIfTrue="1">
      <formula>IF(BC15="Lùi",1,0)</formula>
    </cfRule>
  </conditionalFormatting>
  <conditionalFormatting sqref="A15">
    <cfRule type="expression" dxfId="159" priority="243" stopIfTrue="1">
      <formula>IF(CV15="Hưu",1,0)</formula>
    </cfRule>
    <cfRule type="expression" dxfId="158" priority="244" stopIfTrue="1">
      <formula>IF(CV15="Quá",1,0)</formula>
    </cfRule>
    <cfRule type="expression" dxfId="157" priority="245" stopIfTrue="1">
      <formula>IF(AM15="Lùi",1,0)</formula>
    </cfRule>
  </conditionalFormatting>
  <conditionalFormatting sqref="AV15 AJ15">
    <cfRule type="expression" dxfId="156" priority="242" stopIfTrue="1">
      <formula>IF(AND(AP15=0,OR($AA$4-AJ15&gt;0,O$4-AJ15&lt;0)),1,0)</formula>
    </cfRule>
  </conditionalFormatting>
  <conditionalFormatting sqref="AA15">
    <cfRule type="cellIs" dxfId="155" priority="240" stopIfTrue="1" operator="between">
      <formula>"Đến $"</formula>
      <formula>"Đến $"</formula>
    </cfRule>
    <cfRule type="cellIs" dxfId="154" priority="241" stopIfTrue="1" operator="between">
      <formula>"Dừng $"</formula>
      <formula>"Dừng $"</formula>
    </cfRule>
  </conditionalFormatting>
  <conditionalFormatting sqref="AP15">
    <cfRule type="cellIs" dxfId="153" priority="238" stopIfTrue="1" operator="between">
      <formula>"%"</formula>
      <formula>"%"</formula>
    </cfRule>
    <cfRule type="expression" dxfId="152" priority="239" stopIfTrue="1">
      <formula>IF(AO15=AQ15,1,0)</formula>
    </cfRule>
  </conditionalFormatting>
  <conditionalFormatting sqref="O15">
    <cfRule type="expression" dxfId="151" priority="237" stopIfTrue="1">
      <formula>IF(P15=0,1,0)</formula>
    </cfRule>
  </conditionalFormatting>
  <conditionalFormatting sqref="BE15">
    <cfRule type="expression" dxfId="150" priority="235" stopIfTrue="1">
      <formula>IF(BE15="Đến %",1,0)</formula>
    </cfRule>
    <cfRule type="expression" dxfId="149" priority="236" stopIfTrue="1">
      <formula>IF(BE15="Dừng %",1,0)</formula>
    </cfRule>
  </conditionalFormatting>
  <conditionalFormatting sqref="N15">
    <cfRule type="cellIs" dxfId="148" priority="234" stopIfTrue="1" operator="between">
      <formula>"Ko hạn"</formula>
      <formula>"Ko hạn"</formula>
    </cfRule>
  </conditionalFormatting>
  <conditionalFormatting sqref="Q15">
    <cfRule type="expression" dxfId="147" priority="233">
      <formula>IF(P15=0,1,0)</formula>
    </cfRule>
  </conditionalFormatting>
  <conditionalFormatting sqref="BJ15">
    <cfRule type="expression" dxfId="146" priority="232" stopIfTrue="1">
      <formula>IF(AND(BS15=0,OR($AA$4-BJ15&gt;BS15,$AA$4-BJ15&lt;BS15)),1,0)</formula>
    </cfRule>
  </conditionalFormatting>
  <conditionalFormatting sqref="E15">
    <cfRule type="expression" dxfId="145" priority="230" stopIfTrue="1">
      <formula>IF(CV15="Hưu",1,0)</formula>
    </cfRule>
    <cfRule type="expression" dxfId="144" priority="231" stopIfTrue="1">
      <formula>IF(CV15="Quá",1,0)</formula>
    </cfRule>
  </conditionalFormatting>
  <conditionalFormatting sqref="AM15">
    <cfRule type="expression" dxfId="143" priority="229" stopIfTrue="1">
      <formula>IF(AND(BB15=0,AM15&gt;0),1,0)</formula>
    </cfRule>
  </conditionalFormatting>
  <conditionalFormatting sqref="BS62:BS66">
    <cfRule type="expression" dxfId="142" priority="228" stopIfTrue="1">
      <formula>IF(AND(BX62=0,OR($AA$4-BS62&gt;BX62,$AA$4-BS62&lt;BX62)),1,0)</formula>
    </cfRule>
  </conditionalFormatting>
  <conditionalFormatting sqref="DW50:DW53">
    <cfRule type="expression" dxfId="141" priority="121" stopIfTrue="1">
      <formula>IF(DV50=0,1,0)</formula>
    </cfRule>
  </conditionalFormatting>
  <conditionalFormatting sqref="V58 E58:E59 L58:S61 E50:E53 L50:S56">
    <cfRule type="expression" dxfId="140" priority="119" stopIfTrue="1">
      <formula>IF(CW50="Hưu",1,0)</formula>
    </cfRule>
    <cfRule type="expression" dxfId="139" priority="120" stopIfTrue="1">
      <formula>IF(CW50="Quá",1,0)</formula>
    </cfRule>
  </conditionalFormatting>
  <conditionalFormatting sqref="DO60:DO61 DO50:DO56">
    <cfRule type="expression" dxfId="138" priority="116" stopIfTrue="1">
      <formula>IF(FI50="Hưu",1,0)</formula>
    </cfRule>
    <cfRule type="expression" dxfId="137" priority="117" stopIfTrue="1">
      <formula>IF(FI50="Quá",1,0)</formula>
    </cfRule>
    <cfRule type="expression" dxfId="136" priority="118" stopIfTrue="1">
      <formula>IF(EQ50="Lùi",1,0)</formula>
    </cfRule>
  </conditionalFormatting>
  <conditionalFormatting sqref="DV54 DV58:DV59">
    <cfRule type="expression" dxfId="135" priority="114" stopIfTrue="1">
      <formula>IF(FN54="Hưu",1,0)</formula>
    </cfRule>
    <cfRule type="expression" dxfId="134" priority="115" stopIfTrue="1">
      <formula>IF(FN54="Quá",1,0)</formula>
    </cfRule>
  </conditionalFormatting>
  <conditionalFormatting sqref="AB55:AB56 AB58:AB60 AB50:AB53">
    <cfRule type="cellIs" dxfId="133" priority="111" stopIfTrue="1" operator="between">
      <formula>0</formula>
      <formula>0</formula>
    </cfRule>
    <cfRule type="expression" dxfId="132" priority="112" stopIfTrue="1">
      <formula>IF(AND(AD50&gt;AB50,AB50&gt;0),1,0)</formula>
    </cfRule>
    <cfRule type="expression" dxfId="131" priority="113" stopIfTrue="1">
      <formula>IF(AD50&lt;AB50,1,0)</formula>
    </cfRule>
  </conditionalFormatting>
  <conditionalFormatting sqref="CV58:CV61 CV50:CV56">
    <cfRule type="cellIs" dxfId="130" priority="108" stopIfTrue="1" operator="between">
      <formula>"Hưu"</formula>
      <formula>"Hưu"</formula>
    </cfRule>
    <cfRule type="cellIs" dxfId="129" priority="109" stopIfTrue="1" operator="between">
      <formula>"---"</formula>
      <formula>"---"</formula>
    </cfRule>
    <cfRule type="cellIs" dxfId="128" priority="110" stopIfTrue="1" operator="between">
      <formula>"Quá"</formula>
      <formula>"Quá"</formula>
    </cfRule>
  </conditionalFormatting>
  <conditionalFormatting sqref="BG55:BG56 BG58:BG61 BG50:BG53">
    <cfRule type="cellIs" dxfId="127" priority="107" stopIfTrue="1" operator="between">
      <formula>4</formula>
      <formula>4</formula>
    </cfRule>
  </conditionalFormatting>
  <conditionalFormatting sqref="BF58:BF61 BF50:BF56">
    <cfRule type="expression" dxfId="126" priority="105" stopIfTrue="1">
      <formula>IF(BF50="Đến %",1,0)</formula>
    </cfRule>
    <cfRule type="expression" dxfId="125" priority="106" stopIfTrue="1">
      <formula>IF(BF50="Dừng %",1,0)</formula>
    </cfRule>
  </conditionalFormatting>
  <conditionalFormatting sqref="AA58:AA61 AA50:AA56">
    <cfRule type="cellIs" dxfId="124" priority="103" stopIfTrue="1" operator="between">
      <formula>"Đến $"</formula>
      <formula>"Đến $"</formula>
    </cfRule>
    <cfRule type="cellIs" dxfId="123" priority="104" stopIfTrue="1" operator="between">
      <formula>"Dừng $"</formula>
      <formula>"Dừng $"</formula>
    </cfRule>
  </conditionalFormatting>
  <conditionalFormatting sqref="BX58:BX61 BX50:BX56">
    <cfRule type="cellIs" dxfId="122" priority="102" stopIfTrue="1" operator="between">
      <formula>0</formula>
      <formula>13</formula>
    </cfRule>
  </conditionalFormatting>
  <conditionalFormatting sqref="AM50:AM56 AM58:AM61">
    <cfRule type="expression" dxfId="121" priority="101" stopIfTrue="1">
      <formula>IF(AND(BC50=0,AM50&gt;0),1,0)</formula>
    </cfRule>
  </conditionalFormatting>
  <conditionalFormatting sqref="EF58:EF61 EF50:EF56">
    <cfRule type="expression" dxfId="120" priority="100" stopIfTrue="1">
      <formula>IF(EF50="Sửa",1,0)</formula>
    </cfRule>
  </conditionalFormatting>
  <conditionalFormatting sqref="BT58 BT50:BT56 BT60:BT61">
    <cfRule type="expression" dxfId="119" priority="99" stopIfTrue="1">
      <formula>IF(AND(BY50=0,OR($AA$4-BT50&gt;BY50,$AA$4-BT50&lt;BY50)),1,0)</formula>
    </cfRule>
  </conditionalFormatting>
  <conditionalFormatting sqref="BN50:BN56 BN58:BN61">
    <cfRule type="expression" dxfId="118" priority="98" stopIfTrue="1">
      <formula>IF(AND(BY50=0,BN50&gt;0),1,0)</formula>
    </cfRule>
  </conditionalFormatting>
  <conditionalFormatting sqref="BI58:BK58 BJ60:BK61 BJ50:BK56">
    <cfRule type="expression" dxfId="117" priority="97" stopIfTrue="1">
      <formula>IF(AND(BR50=0,OR($AA$4-BI50&gt;BR50,$AA$4-BI50&lt;BR50)),1,0)</formula>
    </cfRule>
  </conditionalFormatting>
  <conditionalFormatting sqref="BR58 BR50:BR56 BR60:BR61">
    <cfRule type="expression" dxfId="116" priority="95" stopIfTrue="1">
      <formula>IF(AND(BO50=0,OR($AA$4-BR50&gt;BO50,$AA$4-BR50&lt;BO50)),1,0)</formula>
    </cfRule>
  </conditionalFormatting>
  <conditionalFormatting sqref="C50:C56 C58:C61">
    <cfRule type="expression" dxfId="115" priority="92" stopIfTrue="1">
      <formula>IF(CY50="Hưu",1,0)</formula>
    </cfRule>
    <cfRule type="expression" dxfId="114" priority="93" stopIfTrue="1">
      <formula>IF(CY50="Quá",1,0)</formula>
    </cfRule>
    <cfRule type="expression" dxfId="113" priority="94" stopIfTrue="1">
      <formula>IF(BD50="Lùi",1,0)</formula>
    </cfRule>
  </conditionalFormatting>
  <conditionalFormatting sqref="A50:A56 A58:A61">
    <cfRule type="expression" dxfId="112" priority="89" stopIfTrue="1">
      <formula>IF(CW50="Hưu",1,0)</formula>
    </cfRule>
    <cfRule type="expression" dxfId="111" priority="90" stopIfTrue="1">
      <formula>IF(CW50="Quá",1,0)</formula>
    </cfRule>
    <cfRule type="expression" dxfId="110" priority="91" stopIfTrue="1">
      <formula>IF(AM50="Lùi",1,0)</formula>
    </cfRule>
  </conditionalFormatting>
  <conditionalFormatting sqref="AG58:AG59 AG54:AG55">
    <cfRule type="cellIs" dxfId="109" priority="87" stopIfTrue="1" operator="between">
      <formula>"%"</formula>
      <formula>"%"</formula>
    </cfRule>
    <cfRule type="expression" dxfId="108" priority="88" stopIfTrue="1">
      <formula>IF(AF54=AQ54,1,0)</formula>
    </cfRule>
  </conditionalFormatting>
  <conditionalFormatting sqref="AG50:AG53">
    <cfRule type="cellIs" dxfId="107" priority="85" stopIfTrue="1" operator="between">
      <formula>"%"</formula>
      <formula>"%"</formula>
    </cfRule>
    <cfRule type="expression" dxfId="106" priority="86" stopIfTrue="1">
      <formula>IF(AF50=AR50,1,0)</formula>
    </cfRule>
  </conditionalFormatting>
  <conditionalFormatting sqref="AA57">
    <cfRule type="cellIs" dxfId="105" priority="83" stopIfTrue="1" operator="between">
      <formula>"Đến $"</formula>
      <formula>"Đến $"</formula>
    </cfRule>
    <cfRule type="cellIs" dxfId="104" priority="84" stopIfTrue="1" operator="between">
      <formula>"Dừng $"</formula>
      <formula>"Dừng $"</formula>
    </cfRule>
  </conditionalFormatting>
  <conditionalFormatting sqref="BF57">
    <cfRule type="expression" dxfId="103" priority="81" stopIfTrue="1">
      <formula>IF(BF57="Đến %",1,0)</formula>
    </cfRule>
    <cfRule type="expression" dxfId="102" priority="82" stopIfTrue="1">
      <formula>IF(BF57="Dừng %",1,0)</formula>
    </cfRule>
  </conditionalFormatting>
  <conditionalFormatting sqref="BT59">
    <cfRule type="expression" dxfId="101" priority="80" stopIfTrue="1">
      <formula>IF(AND(BY59=0,OR($AA$4-BT59&gt;BY59,$AA$4-BT59&lt;BY59)),1,0)</formula>
    </cfRule>
  </conditionalFormatting>
  <conditionalFormatting sqref="BR59">
    <cfRule type="expression" dxfId="100" priority="79" stopIfTrue="1">
      <formula>IF(AND(BO59=0,OR($AA$4-BR59&gt;BO59,$AA$4-BR59&lt;BO59)),1,0)</formula>
    </cfRule>
  </conditionalFormatting>
  <conditionalFormatting sqref="BK59">
    <cfRule type="expression" dxfId="99" priority="78" stopIfTrue="1">
      <formula>IF(AND(BP59=0,OR($AA$4-BK59&gt;BP59,$AA$4-BK59&lt;BP59)),1,0)</formula>
    </cfRule>
  </conditionalFormatting>
  <conditionalFormatting sqref="BI59">
    <cfRule type="expression" dxfId="98" priority="77" stopIfTrue="1">
      <formula>IF(AND(BF59=0,OR($AA$4-BI59&gt;BF59,$AA$4-BI59&lt;BF59)),1,0)</formula>
    </cfRule>
  </conditionalFormatting>
  <pageMargins left="0.51181102362204722" right="0.31496062992125984" top="0.23622047244094491" bottom="0.19685039370078741" header="0.15748031496062992" footer="0.19685039370078741"/>
  <pageSetup paperSize="9" orientation="landscape" r:id="rId1"/>
  <headerFooter alignWithMargins="0">
    <oddHeader>&amp;R&amp;"Arial,Bold"&amp;14&amp;UBIỂU 2 -TB</oddHead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43" stopIfTrue="1" id="{1584CE41-0250-4436-900D-39F5CC77E097}">
            <xm:f>IF(#REF!=#REF!,1,0)</xm:f>
            <x14:dxf>
              <font>
                <b/>
                <i val="0"/>
                <condense val="0"/>
                <extend val="0"/>
                <color indexed="9"/>
              </font>
              <fill>
                <patternFill>
                  <bgColor indexed="12"/>
                </patternFill>
              </fill>
            </x14:dxf>
          </x14:cfRule>
          <xm:sqref>AP78 AP74</xm:sqref>
        </x14:conditionalFormatting>
        <x14:conditionalFormatting xmlns:xm="http://schemas.microsoft.com/office/excel/2006/main">
          <x14:cfRule type="expression" priority="940" stopIfTrue="1" id="{63D10915-6FD7-42FF-951B-5545EBCF7751}">
            <xm:f>IF(#REF!="Hưu",1,0)</xm:f>
            <x14:dxf>
              <font>
                <b/>
                <i val="0"/>
                <condense val="0"/>
                <extend val="0"/>
                <color indexed="9"/>
              </font>
              <fill>
                <patternFill>
                  <bgColor indexed="16"/>
                </patternFill>
              </fill>
            </x14:dxf>
          </x14:cfRule>
          <x14:cfRule type="expression" priority="941" stopIfTrue="1" id="{8844EB15-8AC8-4C5F-92AF-70752AD51205}">
            <xm:f>IF(#REF!="Quá",1,0)</xm:f>
            <x14:dxf>
              <font>
                <b/>
                <i val="0"/>
                <condense val="0"/>
                <extend val="0"/>
                <color indexed="34"/>
              </font>
              <fill>
                <patternFill>
                  <bgColor indexed="23"/>
                </patternFill>
              </fill>
            </x14:dxf>
          </x14:cfRule>
          <xm:sqref>E78 E70:E73 V74:W74 Y74:Z74 E68 L67:S74</xm:sqref>
        </x14:conditionalFormatting>
        <x14:conditionalFormatting xmlns:xm="http://schemas.microsoft.com/office/excel/2006/main">
          <x14:cfRule type="expression" priority="937" stopIfTrue="1" id="{230C69A2-28C2-42D3-A9C9-8F6313ACB480}">
            <xm:f>IF(#REF!="Hưu",1,0)</xm:f>
            <x14:dxf>
              <font>
                <b/>
                <i val="0"/>
                <condense val="0"/>
                <extend val="0"/>
                <color indexed="9"/>
              </font>
              <fill>
                <patternFill>
                  <bgColor indexed="16"/>
                </patternFill>
              </fill>
            </x14:dxf>
          </x14:cfRule>
          <x14:cfRule type="expression" priority="938" stopIfTrue="1" id="{4EFBDF7A-FE85-4150-A470-3B2000607AA8}">
            <xm:f>IF(#REF!="Quá",1,0)</xm:f>
            <x14:dxf>
              <font>
                <b/>
                <i val="0"/>
                <condense val="0"/>
                <extend val="0"/>
                <color indexed="34"/>
              </font>
              <fill>
                <patternFill>
                  <bgColor indexed="23"/>
                </patternFill>
              </fill>
            </x14:dxf>
          </x14:cfRule>
          <x14:cfRule type="expression" priority="939" stopIfTrue="1" id="{26DF4B40-A71E-4048-B1B0-F5F478709776}">
            <xm:f>IF(#REF!="Lùi",1,0)</xm:f>
            <x14:dxf>
              <font>
                <b/>
                <i val="0"/>
                <condense val="0"/>
                <extend val="0"/>
                <color indexed="34"/>
              </font>
              <fill>
                <patternFill>
                  <bgColor indexed="10"/>
                </patternFill>
              </fill>
            </x14:dxf>
          </x14:cfRule>
          <xm:sqref>DO78 DO74 DO67:DO72</xm:sqref>
        </x14:conditionalFormatting>
        <x14:conditionalFormatting xmlns:xm="http://schemas.microsoft.com/office/excel/2006/main">
          <x14:cfRule type="expression" priority="935" stopIfTrue="1" id="{B9CE8FB9-73D6-4A9B-AE11-95F831C88761}">
            <xm:f>IF(#REF!="Hưu",1,0)</xm:f>
            <x14:dxf>
              <font>
                <b/>
                <i val="0"/>
                <condense val="0"/>
                <extend val="0"/>
                <color indexed="9"/>
              </font>
              <fill>
                <patternFill>
                  <bgColor indexed="16"/>
                </patternFill>
              </fill>
            </x14:dxf>
          </x14:cfRule>
          <x14:cfRule type="expression" priority="936" stopIfTrue="1" id="{89FD9C3A-1EAF-45DD-B59F-7EF284A92823}">
            <xm:f>IF(#REF!="Quá",1,0)</xm:f>
            <x14:dxf>
              <font>
                <b/>
                <i val="0"/>
                <condense val="0"/>
                <extend val="0"/>
                <color indexed="34"/>
              </font>
              <fill>
                <patternFill>
                  <bgColor indexed="23"/>
                </patternFill>
              </fill>
            </x14:dxf>
          </x14:cfRule>
          <xm:sqref>DV78 DV70:DV73 DV68</xm:sqref>
        </x14:conditionalFormatting>
        <x14:conditionalFormatting xmlns:xm="http://schemas.microsoft.com/office/excel/2006/main">
          <x14:cfRule type="expression" priority="933" stopIfTrue="1" id="{D5D21E11-A13F-4B1D-9AF6-67EABD0D0A87}">
            <xm:f>IF(AND(#REF!&gt;#REF!,#REF!&gt;0),1,0)</xm:f>
            <x14:dxf>
              <font>
                <b/>
                <i val="0"/>
                <condense val="0"/>
                <extend val="0"/>
              </font>
              <fill>
                <patternFill>
                  <bgColor indexed="9"/>
                </patternFill>
              </fill>
            </x14:dxf>
          </x14:cfRule>
          <x14:cfRule type="expression" priority="934" stopIfTrue="1" id="{6905E59E-9DDC-4EBC-806F-EAC781C2D539}">
            <xm:f>IF(#REF!&lt;#REF!,1,0)</xm:f>
            <x14:dxf>
              <font>
                <b/>
                <i val="0"/>
                <condense val="0"/>
                <extend val="0"/>
                <color indexed="13"/>
              </font>
              <fill>
                <patternFill>
                  <bgColor indexed="10"/>
                </patternFill>
              </fill>
            </x14:dxf>
          </x14:cfRule>
          <xm:sqref>AB78 AB70:AB73 AB67</xm:sqref>
        </x14:conditionalFormatting>
        <x14:conditionalFormatting xmlns:xm="http://schemas.microsoft.com/office/excel/2006/main">
          <x14:cfRule type="expression" priority="909" stopIfTrue="1" id="{0E379453-41FD-4A70-8EAE-880FC136625B}">
            <xm:f>IF(AND(#REF!=0,OR(#REF!-#REF!&gt;#REF!,#REF!-#REF!&lt;#REF!)),1,0)</xm:f>
            <x14:dxf>
              <font>
                <b/>
                <i val="0"/>
                <color rgb="FFFFFF00"/>
              </font>
              <fill>
                <patternFill>
                  <bgColor rgb="FFFF0000"/>
                </patternFill>
              </fill>
            </x14:dxf>
          </x14:cfRule>
          <xm:sqref>BJ78:BK78 BI73:BK73 BJ74:BK74 BJ67:BK72</xm:sqref>
        </x14:conditionalFormatting>
        <x14:conditionalFormatting xmlns:xm="http://schemas.microsoft.com/office/excel/2006/main">
          <x14:cfRule type="expression" priority="882" stopIfTrue="1" id="{0814E7AB-26F8-42F3-87D0-5FBD1AFD4D78}">
            <xm:f>IF(#REF!=#REF!,1,0)</xm:f>
            <x14:dxf>
              <font>
                <b/>
                <i val="0"/>
                <condense val="0"/>
                <extend val="0"/>
                <color indexed="9"/>
              </font>
              <fill>
                <patternFill>
                  <bgColor indexed="12"/>
                </patternFill>
              </fill>
            </x14:dxf>
          </x14:cfRule>
          <xm:sqref>AG70:AG73 AG67:AG68</xm:sqref>
        </x14:conditionalFormatting>
        <x14:conditionalFormatting xmlns:xm="http://schemas.microsoft.com/office/excel/2006/main">
          <x14:cfRule type="expression" priority="1350248" stopIfTrue="1" id="{72B5482A-B796-4E0A-BDCD-058226E4EB77}">
            <xm:f>IF(#REF!=0,1,0)</xm:f>
            <x14:dxf>
              <font>
                <condense val="0"/>
                <extend val="0"/>
                <color indexed="9"/>
              </font>
            </x14:dxf>
          </x14:cfRule>
          <xm:sqref>DW46</xm:sqref>
        </x14:conditionalFormatting>
        <x14:conditionalFormatting xmlns:xm="http://schemas.microsoft.com/office/excel/2006/main">
          <x14:cfRule type="expression" priority="1350251" stopIfTrue="1" id="{63D10915-6FD7-42FF-951B-5545EBCF7751}">
            <xm:f>IF(#REF!="Hưu",1,0)</xm:f>
            <x14:dxf>
              <font>
                <b/>
                <i val="0"/>
                <condense val="0"/>
                <extend val="0"/>
                <color indexed="9"/>
              </font>
              <fill>
                <patternFill>
                  <bgColor indexed="16"/>
                </patternFill>
              </fill>
            </x14:dxf>
          </x14:cfRule>
          <x14:cfRule type="expression" priority="1350252" stopIfTrue="1" id="{8844EB15-8AC8-4C5F-92AF-70752AD51205}">
            <xm:f>IF(#REF!="Quá",1,0)</xm:f>
            <x14:dxf>
              <font>
                <b/>
                <i val="0"/>
                <condense val="0"/>
                <extend val="0"/>
                <color indexed="34"/>
              </font>
              <fill>
                <patternFill>
                  <bgColor indexed="23"/>
                </patternFill>
              </fill>
            </x14:dxf>
          </x14:cfRule>
          <xm:sqref>E46 L46:S46</xm:sqref>
        </x14:conditionalFormatting>
        <x14:conditionalFormatting xmlns:xm="http://schemas.microsoft.com/office/excel/2006/main">
          <x14:cfRule type="expression" priority="1350275" stopIfTrue="1" id="{230C69A2-28C2-42D3-A9C9-8F6313ACB480}">
            <xm:f>IF(#REF!="Hưu",1,0)</xm:f>
            <x14:dxf>
              <font>
                <b/>
                <i val="0"/>
                <condense val="0"/>
                <extend val="0"/>
                <color indexed="9"/>
              </font>
              <fill>
                <patternFill>
                  <bgColor indexed="16"/>
                </patternFill>
              </fill>
            </x14:dxf>
          </x14:cfRule>
          <x14:cfRule type="expression" priority="1350276" stopIfTrue="1" id="{4EFBDF7A-FE85-4150-A470-3B2000607AA8}">
            <xm:f>IF(#REF!="Quá",1,0)</xm:f>
            <x14:dxf>
              <font>
                <b/>
                <i val="0"/>
                <condense val="0"/>
                <extend val="0"/>
                <color indexed="34"/>
              </font>
              <fill>
                <patternFill>
                  <bgColor indexed="23"/>
                </patternFill>
              </fill>
            </x14:dxf>
          </x14:cfRule>
          <x14:cfRule type="expression" priority="1350277" stopIfTrue="1" id="{26DF4B40-A71E-4048-B1B0-F5F478709776}">
            <xm:f>IF(#REF!="Lùi",1,0)</xm:f>
            <x14:dxf>
              <font>
                <b/>
                <i val="0"/>
                <condense val="0"/>
                <extend val="0"/>
                <color indexed="34"/>
              </font>
              <fill>
                <patternFill>
                  <bgColor indexed="10"/>
                </patternFill>
              </fill>
            </x14:dxf>
          </x14:cfRule>
          <xm:sqref>DO46</xm:sqref>
        </x14:conditionalFormatting>
        <x14:conditionalFormatting xmlns:xm="http://schemas.microsoft.com/office/excel/2006/main">
          <x14:cfRule type="expression" priority="1350289" stopIfTrue="1" id="{D5D21E11-A13F-4B1D-9AF6-67EABD0D0A87}">
            <xm:f>IF(AND(#REF!&gt;#REF!,#REF!&gt;0),1,0)</xm:f>
            <x14:dxf>
              <font>
                <b/>
                <i val="0"/>
                <condense val="0"/>
                <extend val="0"/>
              </font>
              <fill>
                <patternFill>
                  <bgColor indexed="9"/>
                </patternFill>
              </fill>
            </x14:dxf>
          </x14:cfRule>
          <x14:cfRule type="expression" priority="1350290" stopIfTrue="1" id="{6905E59E-9DDC-4EBC-806F-EAC781C2D539}">
            <xm:f>IF(#REF!&lt;#REF!,1,0)</xm:f>
            <x14:dxf>
              <font>
                <b/>
                <i val="0"/>
                <condense val="0"/>
                <extend val="0"/>
                <color indexed="13"/>
              </font>
              <fill>
                <patternFill>
                  <bgColor indexed="10"/>
                </patternFill>
              </fill>
            </x14:dxf>
          </x14:cfRule>
          <xm:sqref>AB46</xm:sqref>
        </x14:conditionalFormatting>
        <x14:conditionalFormatting xmlns:xm="http://schemas.microsoft.com/office/excel/2006/main">
          <x14:cfRule type="expression" priority="1350295" stopIfTrue="1" id="{BCC299A9-2B4C-4783-8982-7470B49411FA}">
            <xm:f>IF(#REF!="Đến %",1,0)</xm:f>
            <x14:dxf>
              <font>
                <b/>
                <i val="0"/>
                <condense val="0"/>
                <extend val="0"/>
                <color indexed="9"/>
              </font>
              <fill>
                <patternFill>
                  <bgColor indexed="17"/>
                </patternFill>
              </fill>
            </x14:dxf>
          </x14:cfRule>
          <x14:cfRule type="expression" priority="1350296" stopIfTrue="1" id="{C0DE3D9A-8080-41B0-A954-D4378F977F3F}">
            <xm:f>IF(#REF!="Dừng %",1,0)</xm:f>
            <x14:dxf>
              <font>
                <b/>
                <i val="0"/>
                <condense val="0"/>
                <extend val="0"/>
                <color indexed="9"/>
              </font>
              <fill>
                <patternFill>
                  <bgColor indexed="19"/>
                </patternFill>
              </fill>
            </x14:dxf>
          </x14:cfRule>
          <xm:sqref>BF46</xm:sqref>
        </x14:conditionalFormatting>
        <x14:conditionalFormatting xmlns:xm="http://schemas.microsoft.com/office/excel/2006/main">
          <x14:cfRule type="expression" priority="1350297" stopIfTrue="1" id="{BCC299A9-2B4C-4783-8982-7470B49411FA}">
            <xm:f>IF(#REF!="Đến %",1,0)</xm:f>
            <x14:dxf>
              <font>
                <b/>
                <i val="0"/>
                <condense val="0"/>
                <extend val="0"/>
                <color indexed="9"/>
              </font>
              <fill>
                <patternFill>
                  <bgColor indexed="17"/>
                </patternFill>
              </fill>
            </x14:dxf>
          </x14:cfRule>
          <x14:cfRule type="expression" priority="1350298" stopIfTrue="1" id="{C0DE3D9A-8080-41B0-A954-D4378F977F3F}">
            <xm:f>IF(#REF!="Dừng %",1,0)</xm:f>
            <x14:dxf>
              <font>
                <b/>
                <i val="0"/>
                <condense val="0"/>
                <extend val="0"/>
                <color indexed="9"/>
              </font>
              <fill>
                <patternFill>
                  <bgColor indexed="19"/>
                </patternFill>
              </fill>
            </x14:dxf>
          </x14:cfRule>
          <xm:sqref>BF78 BF67:BF74</xm:sqref>
        </x14:conditionalFormatting>
        <x14:conditionalFormatting xmlns:xm="http://schemas.microsoft.com/office/excel/2006/main">
          <x14:cfRule type="expression" priority="1350299" stopIfTrue="1" id="{A83F6668-FD75-471C-AC90-A92CEBD71108}">
            <xm:f>IF(AND(#REF!=0,#REF!&gt;0),1,0)</xm:f>
            <x14:dxf>
              <font>
                <b/>
                <i val="0"/>
                <color rgb="FFFFFF00"/>
              </font>
              <fill>
                <patternFill>
                  <bgColor rgb="FFFF0000"/>
                </patternFill>
              </fill>
            </x14:dxf>
          </x14:cfRule>
          <xm:sqref>AM46</xm:sqref>
        </x14:conditionalFormatting>
        <x14:conditionalFormatting xmlns:xm="http://schemas.microsoft.com/office/excel/2006/main">
          <x14:cfRule type="expression" priority="1350300" stopIfTrue="1" id="{A83F6668-FD75-471C-AC90-A92CEBD71108}">
            <xm:f>IF(AND(#REF!=0,#REF!&gt;0),1,0)</xm:f>
            <x14:dxf>
              <font>
                <b/>
                <i val="0"/>
                <color rgb="FFFFFF00"/>
              </font>
              <fill>
                <patternFill>
                  <bgColor rgb="FFFF0000"/>
                </patternFill>
              </fill>
            </x14:dxf>
          </x14:cfRule>
          <xm:sqref>AM78 AM67:AM74</xm:sqref>
        </x14:conditionalFormatting>
        <x14:conditionalFormatting xmlns:xm="http://schemas.microsoft.com/office/excel/2006/main">
          <x14:cfRule type="expression" priority="1350301" stopIfTrue="1" id="{B7D17D1A-940E-4EF6-828C-2A5A600DC5E3}">
            <xm:f>IF(#REF!="Sửa",1,0)</xm:f>
            <x14:dxf>
              <font>
                <b/>
                <i val="0"/>
                <color rgb="FFFF0000"/>
              </font>
              <fill>
                <patternFill>
                  <bgColor rgb="FF00B0F0"/>
                </patternFill>
              </fill>
            </x14:dxf>
          </x14:cfRule>
          <xm:sqref>EF46</xm:sqref>
        </x14:conditionalFormatting>
        <x14:conditionalFormatting xmlns:xm="http://schemas.microsoft.com/office/excel/2006/main">
          <x14:cfRule type="expression" priority="1350302" stopIfTrue="1" id="{B7D17D1A-940E-4EF6-828C-2A5A600DC5E3}">
            <xm:f>IF(#REF!="Sửa",1,0)</xm:f>
            <x14:dxf>
              <font>
                <b/>
                <i val="0"/>
                <color rgb="FFFF0000"/>
              </font>
              <fill>
                <patternFill>
                  <bgColor rgb="FF00B0F0"/>
                </patternFill>
              </fill>
            </x14:dxf>
          </x14:cfRule>
          <xm:sqref>EF78 EF67:EF74</xm:sqref>
        </x14:conditionalFormatting>
        <x14:conditionalFormatting xmlns:xm="http://schemas.microsoft.com/office/excel/2006/main">
          <x14:cfRule type="expression" priority="1350303" stopIfTrue="1" id="{4CE5A410-BE43-4015-9DAB-3B7B0523B2CF}">
            <xm:f>IF(AND(#REF!=0,OR(#REF!-#REF!&gt;#REF!,#REF!-#REF!&lt;#REF!)),1,0)</xm:f>
            <x14:dxf>
              <font>
                <b/>
                <i val="0"/>
                <color rgb="FFFFFF00"/>
              </font>
              <fill>
                <patternFill>
                  <bgColor rgb="FFFF0000"/>
                </patternFill>
              </fill>
            </x14:dxf>
          </x14:cfRule>
          <xm:sqref>BT46</xm:sqref>
        </x14:conditionalFormatting>
        <x14:conditionalFormatting xmlns:xm="http://schemas.microsoft.com/office/excel/2006/main">
          <x14:cfRule type="expression" priority="1350304" stopIfTrue="1" id="{4CE5A410-BE43-4015-9DAB-3B7B0523B2CF}">
            <xm:f>IF(AND(#REF!=0,OR(#REF!-#REF!&gt;#REF!,#REF!-#REF!&lt;#REF!)),1,0)</xm:f>
            <x14:dxf>
              <font>
                <b/>
                <i val="0"/>
                <color rgb="FFFFFF00"/>
              </font>
              <fill>
                <patternFill>
                  <bgColor rgb="FFFF0000"/>
                </patternFill>
              </fill>
            </x14:dxf>
          </x14:cfRule>
          <xm:sqref>BT78 BT67:BT74</xm:sqref>
        </x14:conditionalFormatting>
        <x14:conditionalFormatting xmlns:xm="http://schemas.microsoft.com/office/excel/2006/main">
          <x14:cfRule type="expression" priority="1350305" stopIfTrue="1" id="{4AF8642C-4261-4F5B-A837-3B071231E4F9}">
            <xm:f>IF(AND(#REF!=0,#REF!&gt;0),1,0)</xm:f>
            <x14:dxf>
              <font>
                <b/>
                <i val="0"/>
                <color rgb="FFFFFF00"/>
              </font>
              <fill>
                <patternFill>
                  <bgColor rgb="FFFF0000"/>
                </patternFill>
              </fill>
            </x14:dxf>
          </x14:cfRule>
          <xm:sqref>BN46</xm:sqref>
        </x14:conditionalFormatting>
        <x14:conditionalFormatting xmlns:xm="http://schemas.microsoft.com/office/excel/2006/main">
          <x14:cfRule type="expression" priority="1350306" stopIfTrue="1" id="{4AF8642C-4261-4F5B-A837-3B071231E4F9}">
            <xm:f>IF(AND(#REF!=0,#REF!&gt;0),1,0)</xm:f>
            <x14:dxf>
              <font>
                <b/>
                <i val="0"/>
                <color rgb="FFFFFF00"/>
              </font>
              <fill>
                <patternFill>
                  <bgColor rgb="FFFF0000"/>
                </patternFill>
              </fill>
            </x14:dxf>
          </x14:cfRule>
          <xm:sqref>BN78 BN67:BN74</xm:sqref>
        </x14:conditionalFormatting>
        <x14:conditionalFormatting xmlns:xm="http://schemas.microsoft.com/office/excel/2006/main">
          <x14:cfRule type="expression" priority="1350311" stopIfTrue="1" id="{0E379453-41FD-4A70-8EAE-880FC136625B}">
            <xm:f>IF(AND(#REF!=0,OR(#REF!-#REF!&gt;#REF!,#REF!-#REF!&lt;#REF!)),1,0)</xm:f>
            <x14:dxf>
              <font>
                <b/>
                <i val="0"/>
                <color rgb="FFFFFF00"/>
              </font>
              <fill>
                <patternFill>
                  <bgColor rgb="FFFF0000"/>
                </patternFill>
              </fill>
            </x14:dxf>
          </x14:cfRule>
          <xm:sqref>BJ46:BK46</xm:sqref>
        </x14:conditionalFormatting>
        <x14:conditionalFormatting xmlns:xm="http://schemas.microsoft.com/office/excel/2006/main">
          <x14:cfRule type="expression" priority="1350314" stopIfTrue="1" id="{E008CFA9-7387-4CB0-A04C-DD291FEF41F6}">
            <xm:f>IF(AND(#REF!=0,OR(#REF!-#REF!&gt;0,#REF!-#REF!&lt;0)),1,0)</xm:f>
            <x14:dxf>
              <font>
                <b/>
                <i val="0"/>
                <color rgb="FFFFFF00"/>
              </font>
              <fill>
                <patternFill>
                  <bgColor rgb="FFFF0000"/>
                </patternFill>
              </fill>
            </x14:dxf>
          </x14:cfRule>
          <xm:sqref>AJ46 AV46</xm:sqref>
        </x14:conditionalFormatting>
        <x14:conditionalFormatting xmlns:xm="http://schemas.microsoft.com/office/excel/2006/main">
          <x14:cfRule type="expression" priority="1350318" stopIfTrue="1" id="{2D288A47-D60F-4EB3-B01B-205532BB56C1}">
            <xm:f>IF(AND(#REF!=0,OR(#REF!-#REF!&gt;#REF!,#REF!-#REF!&lt;#REF!)),1,0)</xm:f>
            <x14:dxf>
              <font>
                <b/>
                <i val="0"/>
                <color rgb="FFFFFF00"/>
              </font>
              <fill>
                <patternFill>
                  <bgColor rgb="FFFF0000"/>
                </patternFill>
              </fill>
            </x14:dxf>
          </x14:cfRule>
          <xm:sqref>BR46</xm:sqref>
        </x14:conditionalFormatting>
        <x14:conditionalFormatting xmlns:xm="http://schemas.microsoft.com/office/excel/2006/main">
          <x14:cfRule type="expression" priority="1350319" stopIfTrue="1" id="{2D288A47-D60F-4EB3-B01B-205532BB56C1}">
            <xm:f>IF(AND(#REF!=0,OR(#REF!-#REF!&gt;#REF!,#REF!-#REF!&lt;#REF!)),1,0)</xm:f>
            <x14:dxf>
              <font>
                <b/>
                <i val="0"/>
                <color rgb="FFFFFF00"/>
              </font>
              <fill>
                <patternFill>
                  <bgColor rgb="FFFF0000"/>
                </patternFill>
              </fill>
            </x14:dxf>
          </x14:cfRule>
          <xm:sqref>BR78 BR67:BR74</xm:sqref>
        </x14:conditionalFormatting>
        <x14:conditionalFormatting xmlns:xm="http://schemas.microsoft.com/office/excel/2006/main">
          <x14:cfRule type="expression" priority="1350320" stopIfTrue="1" id="{0A8581C5-55E5-41FA-B993-D8C13E527C5C}">
            <xm:f>IF(#REF!="Hưu",1,0)</xm:f>
            <x14:dxf>
              <font>
                <b/>
                <i val="0"/>
                <condense val="0"/>
                <extend val="0"/>
                <color indexed="9"/>
              </font>
              <fill>
                <patternFill>
                  <bgColor indexed="16"/>
                </patternFill>
              </fill>
            </x14:dxf>
          </x14:cfRule>
          <x14:cfRule type="expression" priority="1350321" stopIfTrue="1" id="{EE0874BC-3F87-42B2-A57F-707659DA171C}">
            <xm:f>IF(#REF!="Quá",1,0)</xm:f>
            <x14:dxf>
              <font>
                <b/>
                <i val="0"/>
                <condense val="0"/>
                <extend val="0"/>
                <color indexed="34"/>
              </font>
              <fill>
                <patternFill>
                  <bgColor indexed="23"/>
                </patternFill>
              </fill>
            </x14:dxf>
          </x14:cfRule>
          <x14:cfRule type="expression" priority="1350322" stopIfTrue="1" id="{7DA8CE1C-2C61-4EF9-9B01-E9C687F89D37}">
            <xm:f>IF(#REF!="Lùi",1,0)</xm:f>
            <x14:dxf>
              <font>
                <b/>
                <i val="0"/>
                <condense val="0"/>
                <extend val="0"/>
                <color indexed="34"/>
              </font>
              <fill>
                <patternFill>
                  <bgColor indexed="10"/>
                </patternFill>
              </fill>
            </x14:dxf>
          </x14:cfRule>
          <xm:sqref>C46</xm:sqref>
        </x14:conditionalFormatting>
        <x14:conditionalFormatting xmlns:xm="http://schemas.microsoft.com/office/excel/2006/main">
          <x14:cfRule type="expression" priority="1350323" stopIfTrue="1" id="{0A8581C5-55E5-41FA-B993-D8C13E527C5C}">
            <xm:f>IF(#REF!="Hưu",1,0)</xm:f>
            <x14:dxf>
              <font>
                <b/>
                <i val="0"/>
                <condense val="0"/>
                <extend val="0"/>
                <color indexed="9"/>
              </font>
              <fill>
                <patternFill>
                  <bgColor indexed="16"/>
                </patternFill>
              </fill>
            </x14:dxf>
          </x14:cfRule>
          <x14:cfRule type="expression" priority="1350324" stopIfTrue="1" id="{EE0874BC-3F87-42B2-A57F-707659DA171C}">
            <xm:f>IF(#REF!="Quá",1,0)</xm:f>
            <x14:dxf>
              <font>
                <b/>
                <i val="0"/>
                <condense val="0"/>
                <extend val="0"/>
                <color indexed="34"/>
              </font>
              <fill>
                <patternFill>
                  <bgColor indexed="23"/>
                </patternFill>
              </fill>
            </x14:dxf>
          </x14:cfRule>
          <x14:cfRule type="expression" priority="1350325" stopIfTrue="1" id="{7DA8CE1C-2C61-4EF9-9B01-E9C687F89D37}">
            <xm:f>IF(#REF!="Lùi",1,0)</xm:f>
            <x14:dxf>
              <font>
                <b/>
                <i val="0"/>
                <condense val="0"/>
                <extend val="0"/>
                <color indexed="34"/>
              </font>
              <fill>
                <patternFill>
                  <bgColor indexed="10"/>
                </patternFill>
              </fill>
            </x14:dxf>
          </x14:cfRule>
          <xm:sqref>C78 C67:C74</xm:sqref>
        </x14:conditionalFormatting>
        <x14:conditionalFormatting xmlns:xm="http://schemas.microsoft.com/office/excel/2006/main">
          <x14:cfRule type="expression" priority="1350326" stopIfTrue="1" id="{DC2159F0-2DFD-403E-B2D5-F145DE12CAE5}">
            <xm:f>IF(#REF!="Hưu",1,0)</xm:f>
            <x14:dxf>
              <font>
                <b/>
                <i val="0"/>
                <condense val="0"/>
                <extend val="0"/>
                <color indexed="9"/>
              </font>
              <fill>
                <patternFill>
                  <bgColor indexed="16"/>
                </patternFill>
              </fill>
            </x14:dxf>
          </x14:cfRule>
          <x14:cfRule type="expression" priority="1350327" stopIfTrue="1" id="{53AB8ECA-1ED5-44FF-AF09-E12E9F970122}">
            <xm:f>IF(#REF!="Quá",1,0)</xm:f>
            <x14:dxf>
              <font>
                <b/>
                <i val="0"/>
                <condense val="0"/>
                <extend val="0"/>
                <color indexed="34"/>
              </font>
              <fill>
                <patternFill>
                  <bgColor indexed="23"/>
                </patternFill>
              </fill>
            </x14:dxf>
          </x14:cfRule>
          <x14:cfRule type="expression" priority="1350328" stopIfTrue="1" id="{658DA57E-FB68-4E20-9492-8877BE4813E6}">
            <xm:f>IF(#REF!="Lùi",1,0)</xm:f>
            <x14:dxf>
              <font>
                <b/>
                <i val="0"/>
                <condense val="0"/>
                <extend val="0"/>
                <color indexed="34"/>
              </font>
              <fill>
                <patternFill>
                  <bgColor indexed="10"/>
                </patternFill>
              </fill>
            </x14:dxf>
          </x14:cfRule>
          <xm:sqref>A46</xm:sqref>
        </x14:conditionalFormatting>
        <x14:conditionalFormatting xmlns:xm="http://schemas.microsoft.com/office/excel/2006/main">
          <x14:cfRule type="expression" priority="1350329" stopIfTrue="1" id="{DC2159F0-2DFD-403E-B2D5-F145DE12CAE5}">
            <xm:f>IF(#REF!="Hưu",1,0)</xm:f>
            <x14:dxf>
              <font>
                <b/>
                <i val="0"/>
                <condense val="0"/>
                <extend val="0"/>
                <color indexed="9"/>
              </font>
              <fill>
                <patternFill>
                  <bgColor indexed="16"/>
                </patternFill>
              </fill>
            </x14:dxf>
          </x14:cfRule>
          <x14:cfRule type="expression" priority="1350330" stopIfTrue="1" id="{53AB8ECA-1ED5-44FF-AF09-E12E9F970122}">
            <xm:f>IF(#REF!="Quá",1,0)</xm:f>
            <x14:dxf>
              <font>
                <b/>
                <i val="0"/>
                <condense val="0"/>
                <extend val="0"/>
                <color indexed="34"/>
              </font>
              <fill>
                <patternFill>
                  <bgColor indexed="23"/>
                </patternFill>
              </fill>
            </x14:dxf>
          </x14:cfRule>
          <x14:cfRule type="expression" priority="1350331" stopIfTrue="1" id="{658DA57E-FB68-4E20-9492-8877BE4813E6}">
            <xm:f>IF(#REF!="Lùi",1,0)</xm:f>
            <x14:dxf>
              <font>
                <b/>
                <i val="0"/>
                <condense val="0"/>
                <extend val="0"/>
                <color indexed="34"/>
              </font>
              <fill>
                <patternFill>
                  <bgColor indexed="10"/>
                </patternFill>
              </fill>
            </x14:dxf>
          </x14:cfRule>
          <xm:sqref>A78 A67:A74</xm:sqref>
        </x14:conditionalFormatting>
        <x14:conditionalFormatting xmlns:xm="http://schemas.microsoft.com/office/excel/2006/main">
          <x14:cfRule type="expression" priority="1350334" stopIfTrue="1" id="{2CCBE409-9A22-4EAD-B2FB-0871A7415CA1}">
            <xm:f>IF(#REF!=#REF!,1,0)</xm:f>
            <x14:dxf>
              <font>
                <b/>
                <i val="0"/>
                <condense val="0"/>
                <extend val="0"/>
                <color indexed="9"/>
              </font>
              <fill>
                <patternFill>
                  <bgColor indexed="12"/>
                </patternFill>
              </fill>
            </x14:dxf>
          </x14:cfRule>
          <xm:sqref>AG46</xm:sqref>
        </x14:conditionalFormatting>
        <x14:conditionalFormatting xmlns:xm="http://schemas.microsoft.com/office/excel/2006/main">
          <x14:cfRule type="expression" priority="1353471" stopIfTrue="1" id="{1584CE41-0250-4436-900D-39F5CC77E097}">
            <xm:f>IF(#REF!=#REF!,1,0)</xm:f>
            <x14:dxf>
              <font>
                <b/>
                <i val="0"/>
                <condense val="0"/>
                <extend val="0"/>
                <color indexed="9"/>
              </font>
              <fill>
                <patternFill>
                  <bgColor indexed="12"/>
                </patternFill>
              </fill>
            </x14:dxf>
          </x14:cfRule>
          <xm:sqref>AP77</xm:sqref>
        </x14:conditionalFormatting>
        <x14:conditionalFormatting xmlns:xm="http://schemas.microsoft.com/office/excel/2006/main">
          <x14:cfRule type="expression" priority="1353480" stopIfTrue="1" id="{63D10915-6FD7-42FF-951B-5545EBCF7751}">
            <xm:f>IF(#REF!="Hưu",1,0)</xm:f>
            <x14:dxf>
              <font>
                <b/>
                <i val="0"/>
                <condense val="0"/>
                <extend val="0"/>
                <color indexed="9"/>
              </font>
              <fill>
                <patternFill>
                  <bgColor indexed="16"/>
                </patternFill>
              </fill>
            </x14:dxf>
          </x14:cfRule>
          <x14:cfRule type="expression" priority="1353481" stopIfTrue="1" id="{8844EB15-8AC8-4C5F-92AF-70752AD51205}">
            <xm:f>IF(#REF!="Quá",1,0)</xm:f>
            <x14:dxf>
              <font>
                <b/>
                <i val="0"/>
                <condense val="0"/>
                <extend val="0"/>
                <color indexed="34"/>
              </font>
              <fill>
                <patternFill>
                  <bgColor indexed="23"/>
                </patternFill>
              </fill>
            </x14:dxf>
          </x14:cfRule>
          <xm:sqref>E77</xm:sqref>
        </x14:conditionalFormatting>
        <x14:conditionalFormatting xmlns:xm="http://schemas.microsoft.com/office/excel/2006/main">
          <x14:cfRule type="expression" priority="1353516" stopIfTrue="1" id="{B9CE8FB9-73D6-4A9B-AE11-95F831C88761}">
            <xm:f>IF(#REF!="Hưu",1,0)</xm:f>
            <x14:dxf>
              <font>
                <b/>
                <i val="0"/>
                <condense val="0"/>
                <extend val="0"/>
                <color indexed="9"/>
              </font>
              <fill>
                <patternFill>
                  <bgColor indexed="16"/>
                </patternFill>
              </fill>
            </x14:dxf>
          </x14:cfRule>
          <x14:cfRule type="expression" priority="1353517" stopIfTrue="1" id="{89FD9C3A-1EAF-45DD-B59F-7EF284A92823}">
            <xm:f>IF(#REF!="Quá",1,0)</xm:f>
            <x14:dxf>
              <font>
                <b/>
                <i val="0"/>
                <condense val="0"/>
                <extend val="0"/>
                <color indexed="34"/>
              </font>
              <fill>
                <patternFill>
                  <bgColor indexed="23"/>
                </patternFill>
              </fill>
            </x14:dxf>
          </x14:cfRule>
          <xm:sqref>DV77</xm:sqref>
        </x14:conditionalFormatting>
        <x14:conditionalFormatting xmlns:xm="http://schemas.microsoft.com/office/excel/2006/main">
          <x14:cfRule type="expression" priority="1353526" stopIfTrue="1" id="{D5D21E11-A13F-4B1D-9AF6-67EABD0D0A87}">
            <xm:f>IF(AND(#REF!&gt;#REF!,#REF!&gt;0),1,0)</xm:f>
            <x14:dxf>
              <font>
                <b/>
                <i val="0"/>
                <condense val="0"/>
                <extend val="0"/>
              </font>
              <fill>
                <patternFill>
                  <bgColor indexed="9"/>
                </patternFill>
              </fill>
            </x14:dxf>
          </x14:cfRule>
          <x14:cfRule type="expression" priority="1353527" stopIfTrue="1" id="{6905E59E-9DDC-4EBC-806F-EAC781C2D539}">
            <xm:f>IF(#REF!&lt;#REF!,1,0)</xm:f>
            <x14:dxf>
              <font>
                <b/>
                <i val="0"/>
                <condense val="0"/>
                <extend val="0"/>
                <color indexed="13"/>
              </font>
              <fill>
                <patternFill>
                  <bgColor indexed="10"/>
                </patternFill>
              </fill>
            </x14:dxf>
          </x14:cfRule>
          <xm:sqref>AB77</xm:sqref>
        </x14:conditionalFormatting>
        <x14:conditionalFormatting xmlns:xm="http://schemas.microsoft.com/office/excel/2006/main">
          <x14:cfRule type="expression" priority="1353530" stopIfTrue="1" id="{0E379453-41FD-4A70-8EAE-880FC136625B}">
            <xm:f>IF(AND(#REF!=0,OR(#REF!-#REF!&gt;#REF!,#REF!-#REF!&lt;#REF!)),1,0)</xm:f>
            <x14:dxf>
              <font>
                <b/>
                <i val="0"/>
                <color rgb="FFFFFF00"/>
              </font>
              <fill>
                <patternFill>
                  <bgColor rgb="FFFF0000"/>
                </patternFill>
              </fill>
            </x14:dxf>
          </x14:cfRule>
          <xm:sqref>BI77:BK77</xm:sqref>
        </x14:conditionalFormatting>
        <x14:conditionalFormatting xmlns:xm="http://schemas.microsoft.com/office/excel/2006/main">
          <x14:cfRule type="expression" priority="1353540" stopIfTrue="1" id="{BCC299A9-2B4C-4783-8982-7470B49411FA}">
            <xm:f>IF(#REF!="Đến %",1,0)</xm:f>
            <x14:dxf>
              <font>
                <b/>
                <i val="0"/>
                <condense val="0"/>
                <extend val="0"/>
                <color indexed="9"/>
              </font>
              <fill>
                <patternFill>
                  <bgColor indexed="17"/>
                </patternFill>
              </fill>
            </x14:dxf>
          </x14:cfRule>
          <x14:cfRule type="expression" priority="1353541" stopIfTrue="1" id="{C0DE3D9A-8080-41B0-A954-D4378F977F3F}">
            <xm:f>IF(#REF!="Dừng %",1,0)</xm:f>
            <x14:dxf>
              <font>
                <b/>
                <i val="0"/>
                <condense val="0"/>
                <extend val="0"/>
                <color indexed="9"/>
              </font>
              <fill>
                <patternFill>
                  <bgColor indexed="19"/>
                </patternFill>
              </fill>
            </x14:dxf>
          </x14:cfRule>
          <xm:sqref>BF77</xm:sqref>
        </x14:conditionalFormatting>
        <x14:conditionalFormatting xmlns:xm="http://schemas.microsoft.com/office/excel/2006/main">
          <x14:cfRule type="expression" priority="1353543" stopIfTrue="1" id="{A83F6668-FD75-471C-AC90-A92CEBD71108}">
            <xm:f>IF(AND(#REF!=0,#REF!&gt;0),1,0)</xm:f>
            <x14:dxf>
              <font>
                <b/>
                <i val="0"/>
                <color rgb="FFFFFF00"/>
              </font>
              <fill>
                <patternFill>
                  <bgColor rgb="FFFF0000"/>
                </patternFill>
              </fill>
            </x14:dxf>
          </x14:cfRule>
          <xm:sqref>AM77</xm:sqref>
        </x14:conditionalFormatting>
        <x14:conditionalFormatting xmlns:xm="http://schemas.microsoft.com/office/excel/2006/main">
          <x14:cfRule type="expression" priority="1353545" stopIfTrue="1" id="{B7D17D1A-940E-4EF6-828C-2A5A600DC5E3}">
            <xm:f>IF(#REF!="Sửa",1,0)</xm:f>
            <x14:dxf>
              <font>
                <b/>
                <i val="0"/>
                <color rgb="FFFF0000"/>
              </font>
              <fill>
                <patternFill>
                  <bgColor rgb="FF00B0F0"/>
                </patternFill>
              </fill>
            </x14:dxf>
          </x14:cfRule>
          <xm:sqref>EF77</xm:sqref>
        </x14:conditionalFormatting>
        <x14:conditionalFormatting xmlns:xm="http://schemas.microsoft.com/office/excel/2006/main">
          <x14:cfRule type="expression" priority="1353547" stopIfTrue="1" id="{4CE5A410-BE43-4015-9DAB-3B7B0523B2CF}">
            <xm:f>IF(AND(#REF!=0,OR(#REF!-#REF!&gt;#REF!,#REF!-#REF!&lt;#REF!)),1,0)</xm:f>
            <x14:dxf>
              <font>
                <b/>
                <i val="0"/>
                <color rgb="FFFFFF00"/>
              </font>
              <fill>
                <patternFill>
                  <bgColor rgb="FFFF0000"/>
                </patternFill>
              </fill>
            </x14:dxf>
          </x14:cfRule>
          <xm:sqref>BT77</xm:sqref>
        </x14:conditionalFormatting>
        <x14:conditionalFormatting xmlns:xm="http://schemas.microsoft.com/office/excel/2006/main">
          <x14:cfRule type="expression" priority="1353549" stopIfTrue="1" id="{4AF8642C-4261-4F5B-A837-3B071231E4F9}">
            <xm:f>IF(AND(#REF!=0,#REF!&gt;0),1,0)</xm:f>
            <x14:dxf>
              <font>
                <b/>
                <i val="0"/>
                <color rgb="FFFFFF00"/>
              </font>
              <fill>
                <patternFill>
                  <bgColor rgb="FFFF0000"/>
                </patternFill>
              </fill>
            </x14:dxf>
          </x14:cfRule>
          <xm:sqref>BN77</xm:sqref>
        </x14:conditionalFormatting>
        <x14:conditionalFormatting xmlns:xm="http://schemas.microsoft.com/office/excel/2006/main">
          <x14:cfRule type="expression" priority="1353553" stopIfTrue="1" id="{2D288A47-D60F-4EB3-B01B-205532BB56C1}">
            <xm:f>IF(AND(#REF!=0,OR(#REF!-#REF!&gt;#REF!,#REF!-#REF!&lt;#REF!)),1,0)</xm:f>
            <x14:dxf>
              <font>
                <b/>
                <i val="0"/>
                <color rgb="FFFFFF00"/>
              </font>
              <fill>
                <patternFill>
                  <bgColor rgb="FFFF0000"/>
                </patternFill>
              </fill>
            </x14:dxf>
          </x14:cfRule>
          <xm:sqref>BR77</xm:sqref>
        </x14:conditionalFormatting>
        <x14:conditionalFormatting xmlns:xm="http://schemas.microsoft.com/office/excel/2006/main">
          <x14:cfRule type="expression" priority="1353557" stopIfTrue="1" id="{0A8581C5-55E5-41FA-B993-D8C13E527C5C}">
            <xm:f>IF(#REF!="Hưu",1,0)</xm:f>
            <x14:dxf>
              <font>
                <b/>
                <i val="0"/>
                <condense val="0"/>
                <extend val="0"/>
                <color indexed="9"/>
              </font>
              <fill>
                <patternFill>
                  <bgColor indexed="16"/>
                </patternFill>
              </fill>
            </x14:dxf>
          </x14:cfRule>
          <x14:cfRule type="expression" priority="1353558" stopIfTrue="1" id="{EE0874BC-3F87-42B2-A57F-707659DA171C}">
            <xm:f>IF(#REF!="Quá",1,0)</xm:f>
            <x14:dxf>
              <font>
                <b/>
                <i val="0"/>
                <condense val="0"/>
                <extend val="0"/>
                <color indexed="34"/>
              </font>
              <fill>
                <patternFill>
                  <bgColor indexed="23"/>
                </patternFill>
              </fill>
            </x14:dxf>
          </x14:cfRule>
          <x14:cfRule type="expression" priority="1353559" stopIfTrue="1" id="{7DA8CE1C-2C61-4EF9-9B01-E9C687F89D37}">
            <xm:f>IF(#REF!="Lùi",1,0)</xm:f>
            <x14:dxf>
              <font>
                <b/>
                <i val="0"/>
                <condense val="0"/>
                <extend val="0"/>
                <color indexed="34"/>
              </font>
              <fill>
                <patternFill>
                  <bgColor indexed="10"/>
                </patternFill>
              </fill>
            </x14:dxf>
          </x14:cfRule>
          <xm:sqref>C77</xm:sqref>
        </x14:conditionalFormatting>
        <x14:conditionalFormatting xmlns:xm="http://schemas.microsoft.com/office/excel/2006/main">
          <x14:cfRule type="expression" priority="1353563" stopIfTrue="1" id="{DC2159F0-2DFD-403E-B2D5-F145DE12CAE5}">
            <xm:f>IF(#REF!="Hưu",1,0)</xm:f>
            <x14:dxf>
              <font>
                <b/>
                <i val="0"/>
                <condense val="0"/>
                <extend val="0"/>
                <color indexed="9"/>
              </font>
              <fill>
                <patternFill>
                  <bgColor indexed="16"/>
                </patternFill>
              </fill>
            </x14:dxf>
          </x14:cfRule>
          <x14:cfRule type="expression" priority="1353564" stopIfTrue="1" id="{53AB8ECA-1ED5-44FF-AF09-E12E9F970122}">
            <xm:f>IF(#REF!="Quá",1,0)</xm:f>
            <x14:dxf>
              <font>
                <b/>
                <i val="0"/>
                <condense val="0"/>
                <extend val="0"/>
                <color indexed="34"/>
              </font>
              <fill>
                <patternFill>
                  <bgColor indexed="23"/>
                </patternFill>
              </fill>
            </x14:dxf>
          </x14:cfRule>
          <x14:cfRule type="expression" priority="1353565" stopIfTrue="1" id="{658DA57E-FB68-4E20-9492-8877BE4813E6}">
            <xm:f>IF(#REF!="Lùi",1,0)</xm:f>
            <x14:dxf>
              <font>
                <b/>
                <i val="0"/>
                <condense val="0"/>
                <extend val="0"/>
                <color indexed="34"/>
              </font>
              <fill>
                <patternFill>
                  <bgColor indexed="10"/>
                </patternFill>
              </fill>
            </x14:dxf>
          </x14:cfRule>
          <xm:sqref>A77</xm:sqref>
        </x14:conditionalFormatting>
        <x14:conditionalFormatting xmlns:xm="http://schemas.microsoft.com/office/excel/2006/main">
          <x14:cfRule type="expression" priority="1353569" stopIfTrue="1" id="{E008CFA9-7387-4CB0-A04C-DD291FEF41F6}">
            <xm:f>IF(AND(#REF!=0,OR(#REF!-#REF!&gt;0,#REF!-#REF!&lt;0)),1,0)</xm:f>
            <x14:dxf>
              <font>
                <b/>
                <i val="0"/>
                <color rgb="FFFFFF00"/>
              </font>
              <fill>
                <patternFill>
                  <bgColor rgb="FFFF0000"/>
                </patternFill>
              </fill>
            </x14:dxf>
          </x14:cfRule>
          <xm:sqref>AJ77 AV77</xm:sqref>
        </x14:conditionalFormatting>
        <x14:conditionalFormatting xmlns:xm="http://schemas.microsoft.com/office/excel/2006/main">
          <x14:cfRule type="expression" priority="1353634" stopIfTrue="1" id="{63D10915-6FD7-42FF-951B-5545EBCF7751}">
            <xm:f>IF(#REF!="Hưu",1,0)</xm:f>
            <x14:dxf>
              <font>
                <b/>
                <i val="0"/>
                <condense val="0"/>
                <extend val="0"/>
                <color indexed="9"/>
              </font>
              <fill>
                <patternFill>
                  <bgColor indexed="16"/>
                </patternFill>
              </fill>
            </x14:dxf>
          </x14:cfRule>
          <x14:cfRule type="expression" priority="1353635" stopIfTrue="1" id="{8844EB15-8AC8-4C5F-92AF-70752AD51205}">
            <xm:f>IF(#REF!="Quá",1,0)</xm:f>
            <x14:dxf>
              <font>
                <b/>
                <i val="0"/>
                <condense val="0"/>
                <extend val="0"/>
                <color indexed="34"/>
              </font>
              <fill>
                <patternFill>
                  <bgColor indexed="23"/>
                </patternFill>
              </fill>
            </x14:dxf>
          </x14:cfRule>
          <xm:sqref>E76</xm:sqref>
        </x14:conditionalFormatting>
        <x14:conditionalFormatting xmlns:xm="http://schemas.microsoft.com/office/excel/2006/main">
          <x14:cfRule type="expression" priority="1353661" stopIfTrue="1" id="{B9CE8FB9-73D6-4A9B-AE11-95F831C88761}">
            <xm:f>IF(#REF!="Hưu",1,0)</xm:f>
            <x14:dxf>
              <font>
                <b/>
                <i val="0"/>
                <condense val="0"/>
                <extend val="0"/>
                <color indexed="9"/>
              </font>
              <fill>
                <patternFill>
                  <bgColor indexed="16"/>
                </patternFill>
              </fill>
            </x14:dxf>
          </x14:cfRule>
          <x14:cfRule type="expression" priority="1353662" stopIfTrue="1" id="{89FD9C3A-1EAF-45DD-B59F-7EF284A92823}">
            <xm:f>IF(#REF!="Quá",1,0)</xm:f>
            <x14:dxf>
              <font>
                <b/>
                <i val="0"/>
                <condense val="0"/>
                <extend val="0"/>
                <color indexed="34"/>
              </font>
              <fill>
                <patternFill>
                  <bgColor indexed="23"/>
                </patternFill>
              </fill>
            </x14:dxf>
          </x14:cfRule>
          <xm:sqref>DV76</xm:sqref>
        </x14:conditionalFormatting>
        <x14:conditionalFormatting xmlns:xm="http://schemas.microsoft.com/office/excel/2006/main">
          <x14:cfRule type="expression" priority="1353671" stopIfTrue="1" id="{D5D21E11-A13F-4B1D-9AF6-67EABD0D0A87}">
            <xm:f>IF(AND(#REF!&gt;#REF!,#REF!&gt;0),1,0)</xm:f>
            <x14:dxf>
              <font>
                <b/>
                <i val="0"/>
                <condense val="0"/>
                <extend val="0"/>
              </font>
              <fill>
                <patternFill>
                  <bgColor indexed="9"/>
                </patternFill>
              </fill>
            </x14:dxf>
          </x14:cfRule>
          <x14:cfRule type="expression" priority="1353672" stopIfTrue="1" id="{6905E59E-9DDC-4EBC-806F-EAC781C2D539}">
            <xm:f>IF(#REF!&lt;#REF!,1,0)</xm:f>
            <x14:dxf>
              <font>
                <b/>
                <i val="0"/>
                <condense val="0"/>
                <extend val="0"/>
                <color indexed="13"/>
              </font>
              <fill>
                <patternFill>
                  <bgColor indexed="10"/>
                </patternFill>
              </fill>
            </x14:dxf>
          </x14:cfRule>
          <xm:sqref>AB75:AB76</xm:sqref>
        </x14:conditionalFormatting>
        <x14:conditionalFormatting xmlns:xm="http://schemas.microsoft.com/office/excel/2006/main">
          <x14:cfRule type="expression" priority="1353677" stopIfTrue="1" id="{0E379453-41FD-4A70-8EAE-880FC136625B}">
            <xm:f>IF(AND(#REF!=0,OR(#REF!-#REF!&gt;#REF!,#REF!-#REF!&lt;#REF!)),1,0)</xm:f>
            <x14:dxf>
              <font>
                <b/>
                <i val="0"/>
                <color rgb="FFFFFF00"/>
              </font>
              <fill>
                <patternFill>
                  <bgColor rgb="FFFF0000"/>
                </patternFill>
              </fill>
            </x14:dxf>
          </x14:cfRule>
          <xm:sqref>BI76:BK76 BJ75:BK75</xm:sqref>
        </x14:conditionalFormatting>
        <x14:conditionalFormatting xmlns:xm="http://schemas.microsoft.com/office/excel/2006/main">
          <x14:cfRule type="expression" priority="1548970" stopIfTrue="1" id="{1584CE41-0250-4436-900D-39F5CC77E097}">
            <xm:f>IF(#REF!=#REF!,1,0)</xm:f>
            <x14:dxf>
              <font>
                <b/>
                <i val="0"/>
                <condense val="0"/>
                <extend val="0"/>
                <color indexed="9"/>
              </font>
              <fill>
                <patternFill>
                  <bgColor indexed="12"/>
                </patternFill>
              </fill>
            </x14:dxf>
          </x14:cfRule>
          <xm:sqref>AP75:AP76</xm:sqref>
        </x14:conditionalFormatting>
        <x14:conditionalFormatting xmlns:xm="http://schemas.microsoft.com/office/excel/2006/main">
          <x14:cfRule type="expression" priority="1548988" stopIfTrue="1" id="{230C69A2-28C2-42D3-A9C9-8F6313ACB480}">
            <xm:f>IF(#REF!="Hưu",1,0)</xm:f>
            <x14:dxf>
              <font>
                <b/>
                <i val="0"/>
                <condense val="0"/>
                <extend val="0"/>
                <color indexed="9"/>
              </font>
              <fill>
                <patternFill>
                  <bgColor indexed="16"/>
                </patternFill>
              </fill>
            </x14:dxf>
          </x14:cfRule>
          <x14:cfRule type="expression" priority="1548989" stopIfTrue="1" id="{4EFBDF7A-FE85-4150-A470-3B2000607AA8}">
            <xm:f>IF(#REF!="Quá",1,0)</xm:f>
            <x14:dxf>
              <font>
                <b/>
                <i val="0"/>
                <condense val="0"/>
                <extend val="0"/>
                <color indexed="34"/>
              </font>
              <fill>
                <patternFill>
                  <bgColor indexed="23"/>
                </patternFill>
              </fill>
            </x14:dxf>
          </x14:cfRule>
          <x14:cfRule type="expression" priority="1548990" stopIfTrue="1" id="{26DF4B40-A71E-4048-B1B0-F5F478709776}">
            <xm:f>IF(#REF!="Lùi",1,0)</xm:f>
            <x14:dxf>
              <font>
                <b/>
                <i val="0"/>
                <condense val="0"/>
                <extend val="0"/>
                <color indexed="34"/>
              </font>
              <fill>
                <patternFill>
                  <bgColor indexed="10"/>
                </patternFill>
              </fill>
            </x14:dxf>
          </x14:cfRule>
          <xm:sqref>DO75</xm:sqref>
        </x14:conditionalFormatting>
        <x14:conditionalFormatting xmlns:xm="http://schemas.microsoft.com/office/excel/2006/main">
          <x14:cfRule type="expression" priority="1549027" stopIfTrue="1" id="{BCC299A9-2B4C-4783-8982-7470B49411FA}">
            <xm:f>IF(#REF!="Đến %",1,0)</xm:f>
            <x14:dxf>
              <font>
                <b/>
                <i val="0"/>
                <condense val="0"/>
                <extend val="0"/>
                <color indexed="9"/>
              </font>
              <fill>
                <patternFill>
                  <bgColor indexed="17"/>
                </patternFill>
              </fill>
            </x14:dxf>
          </x14:cfRule>
          <x14:cfRule type="expression" priority="1549028" stopIfTrue="1" id="{C0DE3D9A-8080-41B0-A954-D4378F977F3F}">
            <xm:f>IF(#REF!="Dừng %",1,0)</xm:f>
            <x14:dxf>
              <font>
                <b/>
                <i val="0"/>
                <condense val="0"/>
                <extend val="0"/>
                <color indexed="9"/>
              </font>
              <fill>
                <patternFill>
                  <bgColor indexed="19"/>
                </patternFill>
              </fill>
            </x14:dxf>
          </x14:cfRule>
          <xm:sqref>BF75:BF76</xm:sqref>
        </x14:conditionalFormatting>
        <x14:conditionalFormatting xmlns:xm="http://schemas.microsoft.com/office/excel/2006/main">
          <x14:cfRule type="expression" priority="1549030" stopIfTrue="1" id="{A83F6668-FD75-471C-AC90-A92CEBD71108}">
            <xm:f>IF(AND(#REF!=0,#REF!&gt;0),1,0)</xm:f>
            <x14:dxf>
              <font>
                <b/>
                <i val="0"/>
                <color rgb="FFFFFF00"/>
              </font>
              <fill>
                <patternFill>
                  <bgColor rgb="FFFF0000"/>
                </patternFill>
              </fill>
            </x14:dxf>
          </x14:cfRule>
          <xm:sqref>AM75:AM76</xm:sqref>
        </x14:conditionalFormatting>
        <x14:conditionalFormatting xmlns:xm="http://schemas.microsoft.com/office/excel/2006/main">
          <x14:cfRule type="expression" priority="1549032" stopIfTrue="1" id="{B7D17D1A-940E-4EF6-828C-2A5A600DC5E3}">
            <xm:f>IF(#REF!="Sửa",1,0)</xm:f>
            <x14:dxf>
              <font>
                <b/>
                <i val="0"/>
                <color rgb="FFFF0000"/>
              </font>
              <fill>
                <patternFill>
                  <bgColor rgb="FF00B0F0"/>
                </patternFill>
              </fill>
            </x14:dxf>
          </x14:cfRule>
          <xm:sqref>EF75:EF76</xm:sqref>
        </x14:conditionalFormatting>
        <x14:conditionalFormatting xmlns:xm="http://schemas.microsoft.com/office/excel/2006/main">
          <x14:cfRule type="expression" priority="1549034" stopIfTrue="1" id="{4CE5A410-BE43-4015-9DAB-3B7B0523B2CF}">
            <xm:f>IF(AND(#REF!=0,OR(#REF!-#REF!&gt;#REF!,#REF!-#REF!&lt;#REF!)),1,0)</xm:f>
            <x14:dxf>
              <font>
                <b/>
                <i val="0"/>
                <color rgb="FFFFFF00"/>
              </font>
              <fill>
                <patternFill>
                  <bgColor rgb="FFFF0000"/>
                </patternFill>
              </fill>
            </x14:dxf>
          </x14:cfRule>
          <xm:sqref>BT75:BT76</xm:sqref>
        </x14:conditionalFormatting>
        <x14:conditionalFormatting xmlns:xm="http://schemas.microsoft.com/office/excel/2006/main">
          <x14:cfRule type="expression" priority="1549036" stopIfTrue="1" id="{4AF8642C-4261-4F5B-A837-3B071231E4F9}">
            <xm:f>IF(AND(#REF!=0,#REF!&gt;0),1,0)</xm:f>
            <x14:dxf>
              <font>
                <b/>
                <i val="0"/>
                <color rgb="FFFFFF00"/>
              </font>
              <fill>
                <patternFill>
                  <bgColor rgb="FFFF0000"/>
                </patternFill>
              </fill>
            </x14:dxf>
          </x14:cfRule>
          <xm:sqref>BN75:BN76</xm:sqref>
        </x14:conditionalFormatting>
        <x14:conditionalFormatting xmlns:xm="http://schemas.microsoft.com/office/excel/2006/main">
          <x14:cfRule type="expression" priority="1549038" stopIfTrue="1" id="{2D288A47-D60F-4EB3-B01B-205532BB56C1}">
            <xm:f>IF(AND(#REF!=0,OR(#REF!-#REF!&gt;#REF!,#REF!-#REF!&lt;#REF!)),1,0)</xm:f>
            <x14:dxf>
              <font>
                <b/>
                <i val="0"/>
                <color rgb="FFFFFF00"/>
              </font>
              <fill>
                <patternFill>
                  <bgColor rgb="FFFF0000"/>
                </patternFill>
              </fill>
            </x14:dxf>
          </x14:cfRule>
          <xm:sqref>BR75:BR76</xm:sqref>
        </x14:conditionalFormatting>
        <x14:conditionalFormatting xmlns:xm="http://schemas.microsoft.com/office/excel/2006/main">
          <x14:cfRule type="expression" priority="1549042" stopIfTrue="1" id="{0A8581C5-55E5-41FA-B993-D8C13E527C5C}">
            <xm:f>IF(#REF!="Hưu",1,0)</xm:f>
            <x14:dxf>
              <font>
                <b/>
                <i val="0"/>
                <condense val="0"/>
                <extend val="0"/>
                <color indexed="9"/>
              </font>
              <fill>
                <patternFill>
                  <bgColor indexed="16"/>
                </patternFill>
              </fill>
            </x14:dxf>
          </x14:cfRule>
          <x14:cfRule type="expression" priority="1549043" stopIfTrue="1" id="{EE0874BC-3F87-42B2-A57F-707659DA171C}">
            <xm:f>IF(#REF!="Quá",1,0)</xm:f>
            <x14:dxf>
              <font>
                <b/>
                <i val="0"/>
                <condense val="0"/>
                <extend val="0"/>
                <color indexed="34"/>
              </font>
              <fill>
                <patternFill>
                  <bgColor indexed="23"/>
                </patternFill>
              </fill>
            </x14:dxf>
          </x14:cfRule>
          <x14:cfRule type="expression" priority="1549044" stopIfTrue="1" id="{7DA8CE1C-2C61-4EF9-9B01-E9C687F89D37}">
            <xm:f>IF(#REF!="Lùi",1,0)</xm:f>
            <x14:dxf>
              <font>
                <b/>
                <i val="0"/>
                <condense val="0"/>
                <extend val="0"/>
                <color indexed="34"/>
              </font>
              <fill>
                <patternFill>
                  <bgColor indexed="10"/>
                </patternFill>
              </fill>
            </x14:dxf>
          </x14:cfRule>
          <xm:sqref>C75:C76</xm:sqref>
        </x14:conditionalFormatting>
        <x14:conditionalFormatting xmlns:xm="http://schemas.microsoft.com/office/excel/2006/main">
          <x14:cfRule type="expression" priority="1549048" stopIfTrue="1" id="{DC2159F0-2DFD-403E-B2D5-F145DE12CAE5}">
            <xm:f>IF(#REF!="Hưu",1,0)</xm:f>
            <x14:dxf>
              <font>
                <b/>
                <i val="0"/>
                <condense val="0"/>
                <extend val="0"/>
                <color indexed="9"/>
              </font>
              <fill>
                <patternFill>
                  <bgColor indexed="16"/>
                </patternFill>
              </fill>
            </x14:dxf>
          </x14:cfRule>
          <x14:cfRule type="expression" priority="1549049" stopIfTrue="1" id="{53AB8ECA-1ED5-44FF-AF09-E12E9F970122}">
            <xm:f>IF(#REF!="Quá",1,0)</xm:f>
            <x14:dxf>
              <font>
                <b/>
                <i val="0"/>
                <condense val="0"/>
                <extend val="0"/>
                <color indexed="34"/>
              </font>
              <fill>
                <patternFill>
                  <bgColor indexed="23"/>
                </patternFill>
              </fill>
            </x14:dxf>
          </x14:cfRule>
          <x14:cfRule type="expression" priority="1549050" stopIfTrue="1" id="{658DA57E-FB68-4E20-9492-8877BE4813E6}">
            <xm:f>IF(#REF!="Lùi",1,0)</xm:f>
            <x14:dxf>
              <font>
                <b/>
                <i val="0"/>
                <condense val="0"/>
                <extend val="0"/>
                <color indexed="34"/>
              </font>
              <fill>
                <patternFill>
                  <bgColor indexed="10"/>
                </patternFill>
              </fill>
            </x14:dxf>
          </x14:cfRule>
          <xm:sqref>A75:A76</xm:sqref>
        </x14:conditionalFormatting>
        <x14:conditionalFormatting xmlns:xm="http://schemas.microsoft.com/office/excel/2006/main">
          <x14:cfRule type="expression" priority="1649718" stopIfTrue="1" id="{E008CFA9-7387-4CB0-A04C-DD291FEF41F6}">
            <xm:f>IF(AND(#REF!=0,OR(#REF!-#REF!&gt;0,#REF!-#REF!&lt;0)),1,0)</xm:f>
            <x14:dxf>
              <font>
                <b/>
                <i val="0"/>
                <color rgb="FFFFFF00"/>
              </font>
              <fill>
                <patternFill>
                  <bgColor rgb="FFFF0000"/>
                </patternFill>
              </fill>
            </x14:dxf>
          </x14:cfRule>
          <xm:sqref>AJ75:AJ76 AV75:AV76</xm:sqref>
        </x14:conditionalFormatting>
        <x14:conditionalFormatting xmlns:xm="http://schemas.microsoft.com/office/excel/2006/main">
          <x14:cfRule type="expression" priority="1650509" stopIfTrue="1" id="{E008CFA9-7387-4CB0-A04C-DD291FEF41F6}">
            <xm:f>IF(AND(#REF!=0,OR(#REF!-#REF!&gt;0,#REF!-#REF!&lt;0)),1,0)</xm:f>
            <x14:dxf>
              <font>
                <b/>
                <i val="0"/>
                <color rgb="FFFFFF00"/>
              </font>
              <fill>
                <patternFill>
                  <bgColor rgb="FFFF0000"/>
                </patternFill>
              </fill>
            </x14:dxf>
          </x14:cfRule>
          <xm:sqref>AV78 AJ67:AJ73 AV67:AV74</xm:sqref>
        </x14:conditionalFormatting>
        <x14:conditionalFormatting xmlns:xm="http://schemas.microsoft.com/office/excel/2006/main">
          <x14:cfRule type="expression" priority="1650512" stopIfTrue="1" id="{D8DE63F2-20CD-4E53-BC6D-ADFC3C7EF69F}">
            <xm:f>IF(AND(#REF!=0,OR(#REF!-#REF!&gt;0,#REF!-#REF!&lt;0)),1,0)</xm:f>
            <x14:dxf>
              <font>
                <b/>
                <i val="0"/>
                <color rgb="FFFFFF00"/>
              </font>
              <fill>
                <patternFill>
                  <bgColor rgb="FFFF0000"/>
                </patternFill>
              </fill>
            </x14:dxf>
          </x14:cfRule>
          <xm:sqref>AJ78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0"/>
  <sheetViews>
    <sheetView topLeftCell="A94" zoomScale="90" zoomScaleNormal="90" workbookViewId="0">
      <selection activeCell="L110" sqref="L110"/>
    </sheetView>
  </sheetViews>
  <sheetFormatPr defaultColWidth="10.5703125" defaultRowHeight="15" x14ac:dyDescent="0.2"/>
  <cols>
    <col min="1" max="1" width="4.42578125" style="5" customWidth="1"/>
    <col min="2" max="2" width="4.42578125" style="294" customWidth="1"/>
    <col min="3" max="3" width="27.42578125" style="5" customWidth="1"/>
    <col min="4" max="4" width="10" style="22" customWidth="1"/>
    <col min="5" max="6" width="10.28515625" style="26" customWidth="1"/>
    <col min="7" max="7" width="10.28515625" style="13" customWidth="1"/>
    <col min="8" max="8" width="10" style="5" customWidth="1"/>
    <col min="9" max="9" width="4.42578125" style="5" customWidth="1"/>
    <col min="10" max="10" width="4.28515625" style="5" customWidth="1"/>
    <col min="11" max="11" width="4.140625" style="5" customWidth="1"/>
    <col min="12" max="12" width="10.5703125" style="377" customWidth="1"/>
    <col min="13" max="13" width="27.42578125" style="5" customWidth="1"/>
    <col min="14" max="16384" width="10.5703125" style="5"/>
  </cols>
  <sheetData>
    <row r="1" spans="1:13" s="8" customFormat="1" ht="19.5" customHeight="1" x14ac:dyDescent="0.2">
      <c r="A1" s="7"/>
      <c r="B1" s="255"/>
      <c r="C1" s="15" t="s">
        <v>122</v>
      </c>
      <c r="D1" s="20" t="s">
        <v>228</v>
      </c>
      <c r="E1" s="23" t="s">
        <v>257</v>
      </c>
      <c r="F1" s="23" t="s">
        <v>229</v>
      </c>
      <c r="G1" s="15" t="s">
        <v>230</v>
      </c>
      <c r="H1" s="15" t="s">
        <v>231</v>
      </c>
      <c r="I1" s="7"/>
      <c r="J1" s="7"/>
      <c r="K1" s="7"/>
      <c r="L1" s="375">
        <v>1</v>
      </c>
      <c r="M1" s="8">
        <v>1</v>
      </c>
    </row>
    <row r="2" spans="1:13" s="3" customFormat="1" ht="20.25" customHeight="1" x14ac:dyDescent="0.2">
      <c r="A2" s="1"/>
      <c r="B2" s="256">
        <f>COUNTA($D$2:D2)</f>
        <v>1</v>
      </c>
      <c r="C2" s="257" t="s">
        <v>429</v>
      </c>
      <c r="D2" s="258" t="s">
        <v>427</v>
      </c>
      <c r="E2" s="259">
        <v>6.2</v>
      </c>
      <c r="F2" s="260">
        <v>0.36</v>
      </c>
      <c r="G2" s="261" t="str">
        <f>IF(F2=0.36,"A3",IF(F2=0.34,"A2",IF(F2=0.33,"A1",IF(F2=0.31,"A0",IF(F2=0.2,"B",IF(F2=0.18,"C"))))))</f>
        <v>A3</v>
      </c>
      <c r="H2" s="261" t="str">
        <f>IF(AND(G2="A3",E2=6.2),"A3.1",IF(AND(G2="A3",E2=5.75),"A3.2",IF(AND(G2="A2",E2=4.4),"A2.1",IF(AND(G2="A2",E2=4),"A2.2",IF(G2="C","Nhân viên","- - -")))))</f>
        <v>A3.1</v>
      </c>
      <c r="I2" s="1"/>
      <c r="J2" s="2"/>
      <c r="K2" s="1"/>
      <c r="L2" s="376">
        <v>2</v>
      </c>
    </row>
    <row r="3" spans="1:13" s="3" customFormat="1" ht="20.25" customHeight="1" x14ac:dyDescent="0.25">
      <c r="A3" s="1"/>
      <c r="B3" s="256">
        <f>COUNTA($D$2:D3)</f>
        <v>2</v>
      </c>
      <c r="C3" s="9" t="s">
        <v>431</v>
      </c>
      <c r="D3" s="129" t="s">
        <v>428</v>
      </c>
      <c r="E3" s="10">
        <v>4.4000000000000004</v>
      </c>
      <c r="F3" s="11">
        <v>0.34</v>
      </c>
      <c r="G3" s="6" t="str">
        <f t="shared" ref="G3:G60" si="0">IF(F3=0.36,"A3",IF(F3=0.34,"A2",IF(F3=0.33,"A1",IF(F3=0.31,"A0",IF(F3=0.2,"B",IF(F3=0.18,"C"))))))</f>
        <v>A2</v>
      </c>
      <c r="H3" s="6" t="str">
        <f t="shared" ref="H3:H60" si="1">IF(AND(G3="A3",E3=6.2),"A3.1",IF(AND(G3="A3",E3=5.75),"A3.2",IF(AND(G3="A2",E3=4.4),"A2.1",IF(AND(G3="A2",E3=4),"A2.2",IF(G3="C","Nhân viên","- - -")))))</f>
        <v>A2.1</v>
      </c>
      <c r="I3" s="1"/>
      <c r="J3" s="4" t="s">
        <v>200</v>
      </c>
      <c r="K3" s="1"/>
      <c r="L3" s="375">
        <v>3</v>
      </c>
    </row>
    <row r="4" spans="1:13" s="3" customFormat="1" ht="20.25" customHeight="1" x14ac:dyDescent="0.25">
      <c r="A4" s="1"/>
      <c r="B4" s="256">
        <f>COUNTA($D$2:D4)</f>
        <v>3</v>
      </c>
      <c r="C4" s="9" t="s">
        <v>430</v>
      </c>
      <c r="D4" s="129" t="s">
        <v>426</v>
      </c>
      <c r="E4" s="10">
        <v>2.34</v>
      </c>
      <c r="F4" s="11">
        <v>0.33</v>
      </c>
      <c r="G4" s="6" t="str">
        <f t="shared" si="0"/>
        <v>A1</v>
      </c>
      <c r="H4" s="6" t="str">
        <f t="shared" si="1"/>
        <v>- - -</v>
      </c>
      <c r="I4" s="1"/>
      <c r="J4" s="4" t="s">
        <v>147</v>
      </c>
      <c r="K4" s="1"/>
      <c r="L4" s="376">
        <v>4</v>
      </c>
    </row>
    <row r="5" spans="1:13" s="3" customFormat="1" ht="20.25" customHeight="1" x14ac:dyDescent="0.25">
      <c r="A5" s="1"/>
      <c r="B5" s="256">
        <f>COUNTA($D$2:D5)</f>
        <v>4</v>
      </c>
      <c r="C5" s="192" t="s">
        <v>352</v>
      </c>
      <c r="D5" s="193" t="s">
        <v>143</v>
      </c>
      <c r="E5" s="194">
        <v>4.4000000000000004</v>
      </c>
      <c r="F5" s="195">
        <v>0.34</v>
      </c>
      <c r="G5" s="196" t="str">
        <f t="shared" si="0"/>
        <v>A2</v>
      </c>
      <c r="H5" s="196" t="str">
        <f t="shared" si="1"/>
        <v>A2.1</v>
      </c>
      <c r="I5" s="1"/>
      <c r="J5" s="4" t="s">
        <v>200</v>
      </c>
      <c r="K5" s="1"/>
      <c r="L5" s="375">
        <v>5</v>
      </c>
    </row>
    <row r="6" spans="1:13" s="3" customFormat="1" ht="20.25" customHeight="1" x14ac:dyDescent="0.25">
      <c r="A6" s="1"/>
      <c r="B6" s="256">
        <f>COUNTA($D$2:D6)</f>
        <v>5</v>
      </c>
      <c r="C6" s="192" t="s">
        <v>469</v>
      </c>
      <c r="D6" s="193" t="s">
        <v>144</v>
      </c>
      <c r="E6" s="194">
        <v>2.34</v>
      </c>
      <c r="F6" s="195">
        <v>0.33</v>
      </c>
      <c r="G6" s="196" t="str">
        <f t="shared" si="0"/>
        <v>A1</v>
      </c>
      <c r="H6" s="196" t="str">
        <f t="shared" si="1"/>
        <v>- - -</v>
      </c>
      <c r="I6" s="1"/>
      <c r="J6" s="4" t="s">
        <v>147</v>
      </c>
      <c r="K6" s="1"/>
      <c r="L6" s="376">
        <v>6</v>
      </c>
    </row>
    <row r="7" spans="1:13" s="3" customFormat="1" ht="20.25" customHeight="1" x14ac:dyDescent="0.25">
      <c r="A7" s="1"/>
      <c r="B7" s="256">
        <f>COUNTA($D$2:D7)</f>
        <v>6</v>
      </c>
      <c r="C7" s="9" t="s">
        <v>145</v>
      </c>
      <c r="D7" s="129" t="s">
        <v>146</v>
      </c>
      <c r="E7" s="10">
        <v>4</v>
      </c>
      <c r="F7" s="11">
        <v>0.34</v>
      </c>
      <c r="G7" s="6" t="str">
        <f t="shared" si="0"/>
        <v>A2</v>
      </c>
      <c r="H7" s="6" t="str">
        <f t="shared" si="1"/>
        <v>A2.2</v>
      </c>
      <c r="I7" s="1"/>
      <c r="J7" s="4" t="s">
        <v>360</v>
      </c>
      <c r="K7" s="1"/>
      <c r="L7" s="375">
        <v>7</v>
      </c>
    </row>
    <row r="8" spans="1:13" s="3" customFormat="1" ht="20.25" customHeight="1" x14ac:dyDescent="0.25">
      <c r="A8" s="1"/>
      <c r="B8" s="256">
        <f>COUNTA($D$2:D8)</f>
        <v>7</v>
      </c>
      <c r="C8" s="9" t="s">
        <v>311</v>
      </c>
      <c r="D8" s="129" t="s">
        <v>148</v>
      </c>
      <c r="E8" s="10">
        <v>2.34</v>
      </c>
      <c r="F8" s="11">
        <v>0.33</v>
      </c>
      <c r="G8" s="6" t="str">
        <f t="shared" si="0"/>
        <v>A1</v>
      </c>
      <c r="H8" s="6" t="str">
        <f t="shared" si="1"/>
        <v>- - -</v>
      </c>
      <c r="I8" s="1"/>
      <c r="J8" s="4" t="s">
        <v>151</v>
      </c>
      <c r="K8" s="1"/>
      <c r="L8" s="376">
        <v>8</v>
      </c>
    </row>
    <row r="9" spans="1:13" s="3" customFormat="1" ht="20.25" customHeight="1" x14ac:dyDescent="0.25">
      <c r="A9" s="1"/>
      <c r="B9" s="256">
        <f>COUNTA($D$2:D9)</f>
        <v>8</v>
      </c>
      <c r="C9" s="9" t="s">
        <v>26</v>
      </c>
      <c r="D9" s="129" t="s">
        <v>149</v>
      </c>
      <c r="E9" s="10">
        <v>2.34</v>
      </c>
      <c r="F9" s="11">
        <v>0.33</v>
      </c>
      <c r="G9" s="6" t="str">
        <f t="shared" si="0"/>
        <v>A1</v>
      </c>
      <c r="H9" s="6" t="str">
        <f t="shared" si="1"/>
        <v>- - -</v>
      </c>
      <c r="I9" s="1"/>
      <c r="J9" s="4" t="s">
        <v>152</v>
      </c>
      <c r="K9" s="1"/>
      <c r="L9" s="375">
        <v>9</v>
      </c>
    </row>
    <row r="10" spans="1:13" s="3" customFormat="1" ht="20.25" customHeight="1" x14ac:dyDescent="0.25">
      <c r="A10" s="1"/>
      <c r="B10" s="256">
        <f>COUNTA($D$2:D10)</f>
        <v>9</v>
      </c>
      <c r="C10" s="9" t="s">
        <v>33</v>
      </c>
      <c r="D10" s="129" t="s">
        <v>150</v>
      </c>
      <c r="E10" s="10">
        <v>2.1</v>
      </c>
      <c r="F10" s="11">
        <v>0.31</v>
      </c>
      <c r="G10" s="6" t="str">
        <f t="shared" si="0"/>
        <v>A0</v>
      </c>
      <c r="H10" s="6" t="str">
        <f t="shared" si="1"/>
        <v>- - -</v>
      </c>
      <c r="I10" s="1"/>
      <c r="J10" s="4" t="s">
        <v>153</v>
      </c>
      <c r="K10" s="1"/>
      <c r="L10" s="376">
        <v>10</v>
      </c>
      <c r="M10" s="3">
        <f>6.2+0.36+0.36</f>
        <v>6.9200000000000008</v>
      </c>
    </row>
    <row r="11" spans="1:13" s="3" customFormat="1" ht="20.25" customHeight="1" x14ac:dyDescent="0.25">
      <c r="A11" s="1"/>
      <c r="B11" s="256">
        <f>COUNTA($D$2:D11)</f>
        <v>10</v>
      </c>
      <c r="C11" s="180" t="s">
        <v>436</v>
      </c>
      <c r="D11" s="129" t="s">
        <v>437</v>
      </c>
      <c r="E11" s="10">
        <v>6.2</v>
      </c>
      <c r="F11" s="11">
        <v>0.36</v>
      </c>
      <c r="G11" s="6" t="str">
        <f t="shared" si="0"/>
        <v>A3</v>
      </c>
      <c r="H11" s="6" t="str">
        <f t="shared" si="1"/>
        <v>A3.1</v>
      </c>
      <c r="I11" s="1"/>
      <c r="J11" s="4" t="s">
        <v>154</v>
      </c>
      <c r="K11" s="1"/>
      <c r="L11" s="375">
        <v>11</v>
      </c>
      <c r="M11" s="262">
        <f>ROUND(L11,1)</f>
        <v>11</v>
      </c>
    </row>
    <row r="12" spans="1:13" s="3" customFormat="1" ht="20.25" customHeight="1" x14ac:dyDescent="0.25">
      <c r="A12" s="1"/>
      <c r="B12" s="256">
        <f>COUNTA($D$2:D12)</f>
        <v>11</v>
      </c>
      <c r="C12" s="180" t="s">
        <v>438</v>
      </c>
      <c r="D12" s="129" t="s">
        <v>439</v>
      </c>
      <c r="E12" s="10">
        <v>4.4000000000000004</v>
      </c>
      <c r="F12" s="11">
        <v>0.34</v>
      </c>
      <c r="G12" s="6" t="str">
        <f t="shared" si="0"/>
        <v>A2</v>
      </c>
      <c r="H12" s="6" t="str">
        <f t="shared" si="1"/>
        <v>A2.1</v>
      </c>
      <c r="I12" s="1"/>
      <c r="J12" s="4" t="s">
        <v>198</v>
      </c>
      <c r="K12" s="1"/>
      <c r="L12" s="376">
        <v>12</v>
      </c>
    </row>
    <row r="13" spans="1:13" s="3" customFormat="1" ht="20.25" customHeight="1" x14ac:dyDescent="0.25">
      <c r="A13" s="1"/>
      <c r="B13" s="256">
        <f>COUNTA($D$2:D13)</f>
        <v>12</v>
      </c>
      <c r="C13" s="180" t="s">
        <v>440</v>
      </c>
      <c r="D13" s="129" t="s">
        <v>441</v>
      </c>
      <c r="E13" s="10">
        <v>2.34</v>
      </c>
      <c r="F13" s="11">
        <v>0.33</v>
      </c>
      <c r="G13" s="6" t="str">
        <f t="shared" si="0"/>
        <v>A1</v>
      </c>
      <c r="H13" s="6" t="str">
        <f t="shared" si="1"/>
        <v>- - -</v>
      </c>
      <c r="I13" s="1"/>
      <c r="J13" s="4" t="s">
        <v>151</v>
      </c>
      <c r="K13" s="1"/>
      <c r="L13" s="375">
        <v>13</v>
      </c>
    </row>
    <row r="14" spans="1:13" s="3" customFormat="1" ht="20.25" customHeight="1" x14ac:dyDescent="0.25">
      <c r="A14" s="1"/>
      <c r="B14" s="256">
        <f>COUNTA($D$2:D14)</f>
        <v>13</v>
      </c>
      <c r="C14" s="9" t="s">
        <v>353</v>
      </c>
      <c r="D14" s="129" t="s">
        <v>155</v>
      </c>
      <c r="E14" s="10">
        <v>6.2</v>
      </c>
      <c r="F14" s="11">
        <v>0.36</v>
      </c>
      <c r="G14" s="6" t="str">
        <f t="shared" si="0"/>
        <v>A3</v>
      </c>
      <c r="H14" s="6" t="str">
        <f t="shared" si="1"/>
        <v>A3.1</v>
      </c>
      <c r="I14" s="1"/>
      <c r="J14" s="4" t="s">
        <v>121</v>
      </c>
      <c r="K14" s="1"/>
      <c r="L14" s="376">
        <v>14</v>
      </c>
    </row>
    <row r="15" spans="1:13" s="3" customFormat="1" ht="20.25" customHeight="1" x14ac:dyDescent="0.25">
      <c r="A15" s="1"/>
      <c r="B15" s="256">
        <f>COUNTA($D$2:D15)</f>
        <v>14</v>
      </c>
      <c r="C15" s="9" t="s">
        <v>351</v>
      </c>
      <c r="D15" s="129" t="s">
        <v>156</v>
      </c>
      <c r="E15" s="10">
        <v>4.4000000000000004</v>
      </c>
      <c r="F15" s="11">
        <v>0.34</v>
      </c>
      <c r="G15" s="6" t="str">
        <f t="shared" si="0"/>
        <v>A2</v>
      </c>
      <c r="H15" s="6" t="str">
        <f t="shared" si="1"/>
        <v>A2.1</v>
      </c>
      <c r="I15" s="1"/>
      <c r="J15" s="4" t="s">
        <v>199</v>
      </c>
      <c r="K15" s="1"/>
      <c r="L15" s="375">
        <v>15</v>
      </c>
    </row>
    <row r="16" spans="1:13" s="3" customFormat="1" ht="20.25" customHeight="1" x14ac:dyDescent="0.2">
      <c r="A16" s="1"/>
      <c r="B16" s="256">
        <f>COUNTA($D$2:D16)</f>
        <v>15</v>
      </c>
      <c r="C16" s="9" t="s">
        <v>339</v>
      </c>
      <c r="D16" s="129" t="s">
        <v>157</v>
      </c>
      <c r="E16" s="10">
        <v>2.34</v>
      </c>
      <c r="F16" s="11">
        <v>0.33</v>
      </c>
      <c r="G16" s="6" t="str">
        <f t="shared" si="0"/>
        <v>A1</v>
      </c>
      <c r="H16" s="6" t="str">
        <f t="shared" si="1"/>
        <v>- - -</v>
      </c>
      <c r="I16" s="1"/>
      <c r="J16" s="2"/>
      <c r="K16" s="1"/>
      <c r="L16" s="376">
        <v>16</v>
      </c>
    </row>
    <row r="17" spans="1:13" s="3" customFormat="1" ht="20.25" customHeight="1" x14ac:dyDescent="0.2">
      <c r="A17" s="1"/>
      <c r="B17" s="256">
        <f>COUNTA($D$2:D17)</f>
        <v>16</v>
      </c>
      <c r="C17" s="9" t="s">
        <v>46</v>
      </c>
      <c r="D17" s="129" t="s">
        <v>158</v>
      </c>
      <c r="E17" s="10">
        <v>2.1</v>
      </c>
      <c r="F17" s="11">
        <v>0.31</v>
      </c>
      <c r="G17" s="6" t="str">
        <f t="shared" si="0"/>
        <v>A0</v>
      </c>
      <c r="H17" s="6" t="str">
        <f t="shared" si="1"/>
        <v>- - -</v>
      </c>
      <c r="I17" s="1"/>
      <c r="J17" s="5"/>
      <c r="L17" s="375">
        <v>17</v>
      </c>
    </row>
    <row r="18" spans="1:13" s="3" customFormat="1" ht="20.25" customHeight="1" x14ac:dyDescent="0.2">
      <c r="A18" s="1"/>
      <c r="B18" s="256">
        <f>COUNTA($D$2:D18)</f>
        <v>17</v>
      </c>
      <c r="C18" s="9" t="s">
        <v>358</v>
      </c>
      <c r="D18" s="129" t="s">
        <v>159</v>
      </c>
      <c r="E18" s="10">
        <v>1.86</v>
      </c>
      <c r="F18" s="11">
        <v>0.2</v>
      </c>
      <c r="G18" s="6" t="str">
        <f t="shared" si="0"/>
        <v>B</v>
      </c>
      <c r="H18" s="6" t="str">
        <f t="shared" si="1"/>
        <v>- - -</v>
      </c>
      <c r="I18" s="1"/>
      <c r="J18" s="5"/>
      <c r="L18" s="376">
        <v>18</v>
      </c>
    </row>
    <row r="19" spans="1:13" s="3" customFormat="1" ht="20.25" customHeight="1" x14ac:dyDescent="0.2">
      <c r="A19" s="1"/>
      <c r="B19" s="256">
        <f>COUNTA($D$2:D19)</f>
        <v>18</v>
      </c>
      <c r="C19" s="9" t="s">
        <v>160</v>
      </c>
      <c r="D19" s="129" t="s">
        <v>161</v>
      </c>
      <c r="E19" s="10">
        <v>6.2</v>
      </c>
      <c r="F19" s="11">
        <v>0.36</v>
      </c>
      <c r="G19" s="6" t="str">
        <f t="shared" si="0"/>
        <v>A3</v>
      </c>
      <c r="H19" s="6" t="str">
        <f>IF(AND(G19="A3",E19=6.2),"A3.1",IF(AND(G19="A3",E19=5.75),"A3.2",IF(AND(G19="A2",E19=4.4),"A2.1",IF(AND(G19="A2",E19=4),"A2.2",IF(G19="C","Nhân viên","- - -")))))</f>
        <v>A3.1</v>
      </c>
      <c r="I19" s="1"/>
      <c r="J19" s="5"/>
      <c r="L19" s="375">
        <v>19</v>
      </c>
    </row>
    <row r="20" spans="1:13" s="3" customFormat="1" ht="20.25" customHeight="1" x14ac:dyDescent="0.2">
      <c r="A20" s="1"/>
      <c r="B20" s="256">
        <f>COUNTA($D$2:D20)</f>
        <v>19</v>
      </c>
      <c r="C20" s="9" t="s">
        <v>162</v>
      </c>
      <c r="D20" s="129" t="s">
        <v>163</v>
      </c>
      <c r="E20" s="10">
        <v>4.4000000000000004</v>
      </c>
      <c r="F20" s="11">
        <v>0.34</v>
      </c>
      <c r="G20" s="6" t="str">
        <f t="shared" si="0"/>
        <v>A2</v>
      </c>
      <c r="H20" s="6" t="str">
        <f t="shared" si="1"/>
        <v>A2.1</v>
      </c>
      <c r="I20" s="1"/>
      <c r="J20" s="5"/>
      <c r="L20" s="376">
        <v>20</v>
      </c>
    </row>
    <row r="21" spans="1:13" s="3" customFormat="1" ht="20.25" customHeight="1" x14ac:dyDescent="0.2">
      <c r="A21" s="1"/>
      <c r="B21" s="256">
        <f>COUNTA($D$2:D21)</f>
        <v>20</v>
      </c>
      <c r="C21" s="9" t="s">
        <v>14</v>
      </c>
      <c r="D21" s="129" t="s">
        <v>164</v>
      </c>
      <c r="E21" s="10">
        <v>2.34</v>
      </c>
      <c r="F21" s="11">
        <v>0.33</v>
      </c>
      <c r="G21" s="6" t="str">
        <f t="shared" si="0"/>
        <v>A1</v>
      </c>
      <c r="H21" s="6" t="str">
        <f t="shared" si="1"/>
        <v>- - -</v>
      </c>
      <c r="I21" s="1"/>
      <c r="J21" s="5"/>
      <c r="L21" s="375">
        <v>21</v>
      </c>
    </row>
    <row r="22" spans="1:13" s="3" customFormat="1" ht="20.25" customHeight="1" x14ac:dyDescent="0.2">
      <c r="A22" s="1"/>
      <c r="B22" s="256">
        <f>COUNTA($D$2:D22)</f>
        <v>21</v>
      </c>
      <c r="C22" s="9" t="s">
        <v>461</v>
      </c>
      <c r="D22" s="129" t="s">
        <v>462</v>
      </c>
      <c r="E22" s="10">
        <v>2.34</v>
      </c>
      <c r="F22" s="11">
        <v>0.33</v>
      </c>
      <c r="G22" s="6" t="str">
        <f t="shared" si="0"/>
        <v>A1</v>
      </c>
      <c r="H22" s="6" t="str">
        <f t="shared" si="1"/>
        <v>- - -</v>
      </c>
      <c r="I22" s="1"/>
      <c r="J22" s="5"/>
      <c r="L22" s="376">
        <v>22</v>
      </c>
    </row>
    <row r="23" spans="1:13" s="12" customFormat="1" ht="20.25" customHeight="1" x14ac:dyDescent="0.2">
      <c r="A23" s="1"/>
      <c r="B23" s="256">
        <f>COUNTA($D$2:D26)</f>
        <v>25</v>
      </c>
      <c r="C23" s="9" t="s">
        <v>210</v>
      </c>
      <c r="D23" s="129" t="s">
        <v>211</v>
      </c>
      <c r="E23" s="10">
        <v>2.34</v>
      </c>
      <c r="F23" s="11">
        <v>0.33</v>
      </c>
      <c r="G23" s="6" t="str">
        <f>IF(F23=0.36,"A3",IF(F23=0.34,"A2",IF(F23=0.33,"A1",IF(F23=0.31,"A0",IF(F23=0.2,"B",IF(F23=0.18,"C"))))))</f>
        <v>A1</v>
      </c>
      <c r="H23" s="6" t="str">
        <f>IF(AND(G23="A3",E23=6.2),"A3.1",IF(AND(G23="A3",E23=5.75),"A3.2",IF(AND(G23="A2",E23=4.4),"A2.1",IF(AND(G23="A2",E23=4),"A2.2",IF(G23="C","Nhân viên","- - -")))))</f>
        <v>- - -</v>
      </c>
      <c r="I23" s="1"/>
      <c r="J23" s="13"/>
      <c r="L23" s="375">
        <v>23</v>
      </c>
    </row>
    <row r="24" spans="1:13" s="374" customFormat="1" ht="20.25" customHeight="1" x14ac:dyDescent="0.2">
      <c r="A24" s="357"/>
      <c r="B24" s="358">
        <f>COUNTA($D$2:D24)</f>
        <v>23</v>
      </c>
      <c r="C24" s="380" t="s">
        <v>534</v>
      </c>
      <c r="D24" s="360" t="s">
        <v>536</v>
      </c>
      <c r="E24" s="361">
        <v>4</v>
      </c>
      <c r="F24" s="362">
        <v>0.34</v>
      </c>
      <c r="G24" s="363" t="str">
        <f>IF(F24=0.36,"A3",IF(F24=0.34,"A2",IF(F24=0.33,"A1",IF(F24=0.31,"A0",IF(F24=0.2,"B",IF(F24=0.18,"C"))))))</f>
        <v>A2</v>
      </c>
      <c r="H24" s="363" t="str">
        <f>IF(AND(G24="A3",E24=6.2),"A3.1",IF(AND(G24="A3",E24=5.75),"A3.2",IF(AND(G24="A2",E24=4.4),"A2.1",IF(AND(G24="A2",E24=4),"A2.2",IF(G24="C","Nhân viên","- - -")))))</f>
        <v>A2.2</v>
      </c>
      <c r="I24" s="357"/>
      <c r="J24" s="381"/>
      <c r="L24" s="375">
        <v>25</v>
      </c>
    </row>
    <row r="25" spans="1:13" s="374" customFormat="1" ht="20.25" customHeight="1" x14ac:dyDescent="0.2">
      <c r="A25" s="357"/>
      <c r="B25" s="358">
        <f>COUNTA($D$2:D25)</f>
        <v>24</v>
      </c>
      <c r="C25" s="380" t="s">
        <v>535</v>
      </c>
      <c r="D25" s="360" t="s">
        <v>537</v>
      </c>
      <c r="E25" s="361">
        <v>2.34</v>
      </c>
      <c r="F25" s="362">
        <v>0.33</v>
      </c>
      <c r="G25" s="363" t="str">
        <f>IF(F25=0.36,"A3",IF(F25=0.34,"A2",IF(F25=0.33,"A1",IF(F25=0.31,"A0",IF(F25=0.2,"B",IF(F25=0.18,"C"))))))</f>
        <v>A1</v>
      </c>
      <c r="H25" s="363" t="str">
        <f>IF(AND(G25="A3",E25=6.2),"A3.1",IF(AND(G25="A3",E25=5.75),"A3.2",IF(AND(G25="A2",E25=4.4),"A2.1",IF(AND(G25="A2",E25=4),"A2.2",IF(G25="C","Nhân viên","- - -")))))</f>
        <v>- - -</v>
      </c>
      <c r="I25" s="357"/>
      <c r="J25" s="381"/>
      <c r="L25" s="375">
        <v>26</v>
      </c>
    </row>
    <row r="26" spans="1:13" s="374" customFormat="1" ht="20.25" customHeight="1" x14ac:dyDescent="0.2">
      <c r="A26" s="357"/>
      <c r="B26" s="358">
        <f>COUNTA($D$2:D26)</f>
        <v>25</v>
      </c>
      <c r="C26" s="380" t="s">
        <v>538</v>
      </c>
      <c r="D26" s="360" t="s">
        <v>539</v>
      </c>
      <c r="E26" s="361">
        <v>1.86</v>
      </c>
      <c r="F26" s="362">
        <v>0.2</v>
      </c>
      <c r="G26" s="363" t="str">
        <f>IF(F26=0.36,"A3",IF(F26=0.34,"A2",IF(F26=0.33,"A1",IF(F26=0.31,"A0",IF(F26=0.2,"B",IF(F26=0.18,"C"))))))</f>
        <v>B</v>
      </c>
      <c r="H26" s="363" t="str">
        <f>IF(AND(G26="A3",E26=6.2),"A3.1",IF(AND(G26="A3",E26=5.75),"A3.2",IF(AND(G26="A2",E26=4.4),"A2.1",IF(AND(G26="A2",E26=4),"A2.2",IF(G26="C","Nhân viên","- - -")))))</f>
        <v>- - -</v>
      </c>
      <c r="I26" s="357"/>
      <c r="J26" s="381"/>
      <c r="L26" s="375">
        <v>28</v>
      </c>
    </row>
    <row r="27" spans="1:13" s="349" customFormat="1" ht="20.25" customHeight="1" x14ac:dyDescent="0.2">
      <c r="B27" s="350">
        <f>COUNTA($D$2:D27)</f>
        <v>26</v>
      </c>
      <c r="C27" s="351" t="s">
        <v>384</v>
      </c>
      <c r="D27" s="352" t="s">
        <v>167</v>
      </c>
      <c r="E27" s="353">
        <v>2.1</v>
      </c>
      <c r="F27" s="354">
        <v>0.31</v>
      </c>
      <c r="G27" s="355" t="str">
        <f>IF(F27=0.36,"A3",IF(F27=0.34,"A2",IF(F27=0.33,"A1",IF(F27=0.31,"A0",IF(F27=0.2,"B",IF(F27=0.18,"C"))))))</f>
        <v>A0</v>
      </c>
      <c r="H27" s="355" t="str">
        <f>IF(AND(G27="A3",E27=6.2),"A3.1",IF(AND(G27="A3",E27=5.75),"A3.2",IF(AND(G27="A2",E27=4.4),"A2.1",IF(AND(G27="A2",E27=4),"A2.2",IF(G27="C","Nhân viên","- - -")))))</f>
        <v>- - -</v>
      </c>
      <c r="J27" s="356"/>
      <c r="L27" s="378">
        <v>27</v>
      </c>
      <c r="M27" s="349" t="s">
        <v>540</v>
      </c>
    </row>
    <row r="28" spans="1:13" s="3" customFormat="1" ht="20.25" customHeight="1" x14ac:dyDescent="0.2">
      <c r="A28" s="1"/>
      <c r="B28" s="256">
        <f>COUNTA($D$2:D28)</f>
        <v>27</v>
      </c>
      <c r="C28" s="181" t="s">
        <v>442</v>
      </c>
      <c r="D28" s="129" t="s">
        <v>443</v>
      </c>
      <c r="E28" s="10">
        <v>6.2</v>
      </c>
      <c r="F28" s="11">
        <v>0.36</v>
      </c>
      <c r="G28" s="6" t="str">
        <f t="shared" si="0"/>
        <v>A3</v>
      </c>
      <c r="H28" s="6" t="str">
        <f t="shared" si="1"/>
        <v>A3.1</v>
      </c>
      <c r="I28" s="1"/>
      <c r="J28" s="5"/>
      <c r="L28" s="375">
        <v>29</v>
      </c>
    </row>
    <row r="29" spans="1:13" s="3" customFormat="1" ht="20.25" customHeight="1" x14ac:dyDescent="0.2">
      <c r="A29" s="1"/>
      <c r="B29" s="256">
        <f>COUNTA($D$2:D29)</f>
        <v>28</v>
      </c>
      <c r="C29" s="181" t="s">
        <v>444</v>
      </c>
      <c r="D29" s="129" t="s">
        <v>445</v>
      </c>
      <c r="E29" s="10">
        <v>4.4000000000000004</v>
      </c>
      <c r="F29" s="11">
        <v>0.34</v>
      </c>
      <c r="G29" s="6" t="str">
        <f t="shared" si="0"/>
        <v>A2</v>
      </c>
      <c r="H29" s="6" t="str">
        <f t="shared" si="1"/>
        <v>A2.1</v>
      </c>
      <c r="I29" s="1"/>
      <c r="J29" s="5"/>
      <c r="L29" s="376">
        <v>30</v>
      </c>
    </row>
    <row r="30" spans="1:13" s="3" customFormat="1" ht="20.25" customHeight="1" x14ac:dyDescent="0.2">
      <c r="A30" s="1"/>
      <c r="B30" s="256">
        <f>COUNTA($D$2:D30)</f>
        <v>29</v>
      </c>
      <c r="C30" s="181" t="s">
        <v>446</v>
      </c>
      <c r="D30" s="129" t="s">
        <v>447</v>
      </c>
      <c r="E30" s="10">
        <v>2.34</v>
      </c>
      <c r="F30" s="11">
        <v>0.33</v>
      </c>
      <c r="G30" s="6" t="str">
        <f t="shared" si="0"/>
        <v>A1</v>
      </c>
      <c r="H30" s="6" t="str">
        <f t="shared" si="1"/>
        <v>- - -</v>
      </c>
      <c r="I30" s="1"/>
      <c r="J30" s="5"/>
      <c r="L30" s="375">
        <v>31</v>
      </c>
    </row>
    <row r="31" spans="1:13" s="3" customFormat="1" ht="20.25" customHeight="1" x14ac:dyDescent="0.2">
      <c r="A31" s="1"/>
      <c r="B31" s="256">
        <f>COUNTA($D$2:D31)</f>
        <v>30</v>
      </c>
      <c r="C31" s="181" t="s">
        <v>448</v>
      </c>
      <c r="D31" s="129" t="s">
        <v>449</v>
      </c>
      <c r="E31" s="10">
        <v>1.86</v>
      </c>
      <c r="F31" s="11">
        <v>0.2</v>
      </c>
      <c r="G31" s="6" t="str">
        <f t="shared" si="0"/>
        <v>B</v>
      </c>
      <c r="H31" s="6" t="str">
        <f t="shared" si="1"/>
        <v>- - -</v>
      </c>
      <c r="I31" s="1"/>
      <c r="J31" s="5"/>
      <c r="L31" s="376">
        <v>32</v>
      </c>
    </row>
    <row r="32" spans="1:13" s="365" customFormat="1" ht="20.25" customHeight="1" x14ac:dyDescent="0.2">
      <c r="A32" s="357"/>
      <c r="B32" s="358">
        <f>COUNTA($D$2:D32)</f>
        <v>31</v>
      </c>
      <c r="C32" s="359" t="s">
        <v>514</v>
      </c>
      <c r="D32" s="360" t="s">
        <v>515</v>
      </c>
      <c r="E32" s="361">
        <v>6.2</v>
      </c>
      <c r="F32" s="362">
        <v>0.36</v>
      </c>
      <c r="G32" s="363" t="str">
        <f t="shared" si="0"/>
        <v>A3</v>
      </c>
      <c r="H32" s="363" t="str">
        <f t="shared" si="1"/>
        <v>A3.1</v>
      </c>
      <c r="I32" s="357"/>
      <c r="J32" s="364"/>
      <c r="L32" s="375">
        <v>33</v>
      </c>
    </row>
    <row r="33" spans="1:12" s="365" customFormat="1" ht="20.25" customHeight="1" x14ac:dyDescent="0.2">
      <c r="A33" s="357"/>
      <c r="B33" s="358">
        <f>COUNTA($D$2:D33)</f>
        <v>32</v>
      </c>
      <c r="C33" s="359" t="s">
        <v>516</v>
      </c>
      <c r="D33" s="360" t="s">
        <v>517</v>
      </c>
      <c r="E33" s="361">
        <v>4.4000000000000004</v>
      </c>
      <c r="F33" s="362">
        <v>0.34</v>
      </c>
      <c r="G33" s="363" t="str">
        <f t="shared" si="0"/>
        <v>A2</v>
      </c>
      <c r="H33" s="363" t="str">
        <f t="shared" si="1"/>
        <v>A2.1</v>
      </c>
      <c r="I33" s="357"/>
      <c r="J33" s="364"/>
      <c r="L33" s="376">
        <v>34</v>
      </c>
    </row>
    <row r="34" spans="1:12" s="365" customFormat="1" ht="20.25" customHeight="1" x14ac:dyDescent="0.2">
      <c r="A34" s="357"/>
      <c r="B34" s="358">
        <f>COUNTA($D$2:D34)</f>
        <v>33</v>
      </c>
      <c r="C34" s="359" t="s">
        <v>520</v>
      </c>
      <c r="D34" s="360" t="s">
        <v>518</v>
      </c>
      <c r="E34" s="361">
        <v>2.34</v>
      </c>
      <c r="F34" s="362">
        <v>0.33</v>
      </c>
      <c r="G34" s="363" t="str">
        <f t="shared" si="0"/>
        <v>A1</v>
      </c>
      <c r="H34" s="363" t="str">
        <f t="shared" si="1"/>
        <v>- - -</v>
      </c>
      <c r="I34" s="357"/>
      <c r="J34" s="364"/>
      <c r="L34" s="375">
        <v>35</v>
      </c>
    </row>
    <row r="35" spans="1:12" s="365" customFormat="1" ht="20.25" customHeight="1" x14ac:dyDescent="0.2">
      <c r="A35" s="357"/>
      <c r="B35" s="358">
        <f>COUNTA($D$2:D35)</f>
        <v>34</v>
      </c>
      <c r="C35" s="359" t="s">
        <v>521</v>
      </c>
      <c r="D35" s="360" t="s">
        <v>519</v>
      </c>
      <c r="E35" s="361">
        <v>1.86</v>
      </c>
      <c r="F35" s="362">
        <v>0.2</v>
      </c>
      <c r="G35" s="363" t="str">
        <f t="shared" si="0"/>
        <v>B</v>
      </c>
      <c r="H35" s="363" t="str">
        <f t="shared" si="1"/>
        <v>- - -</v>
      </c>
      <c r="I35" s="357"/>
      <c r="J35" s="364"/>
      <c r="L35" s="376">
        <v>36</v>
      </c>
    </row>
    <row r="36" spans="1:12" s="365" customFormat="1" ht="20.25" customHeight="1" x14ac:dyDescent="0.2">
      <c r="A36" s="357"/>
      <c r="B36" s="358">
        <f>COUNTA($D$2:D36)</f>
        <v>35</v>
      </c>
      <c r="C36" s="359" t="s">
        <v>522</v>
      </c>
      <c r="D36" s="360" t="s">
        <v>525</v>
      </c>
      <c r="E36" s="361">
        <v>6.2</v>
      </c>
      <c r="F36" s="362">
        <v>0.36</v>
      </c>
      <c r="G36" s="363" t="str">
        <f t="shared" si="0"/>
        <v>A3</v>
      </c>
      <c r="H36" s="363" t="str">
        <f t="shared" si="1"/>
        <v>A3.1</v>
      </c>
      <c r="I36" s="357"/>
      <c r="J36" s="364"/>
      <c r="L36" s="375">
        <v>37</v>
      </c>
    </row>
    <row r="37" spans="1:12" s="365" customFormat="1" ht="20.25" customHeight="1" x14ac:dyDescent="0.2">
      <c r="A37" s="357"/>
      <c r="B37" s="358">
        <f>COUNTA($D$2:D37)</f>
        <v>36</v>
      </c>
      <c r="C37" s="359" t="s">
        <v>523</v>
      </c>
      <c r="D37" s="360" t="s">
        <v>526</v>
      </c>
      <c r="E37" s="361">
        <v>4.4000000000000004</v>
      </c>
      <c r="F37" s="362">
        <v>0.34</v>
      </c>
      <c r="G37" s="363" t="str">
        <f t="shared" si="0"/>
        <v>A2</v>
      </c>
      <c r="H37" s="363" t="str">
        <f t="shared" si="1"/>
        <v>A2.1</v>
      </c>
      <c r="I37" s="357"/>
      <c r="J37" s="364"/>
      <c r="L37" s="376">
        <v>38</v>
      </c>
    </row>
    <row r="38" spans="1:12" s="365" customFormat="1" ht="20.25" customHeight="1" x14ac:dyDescent="0.2">
      <c r="A38" s="357"/>
      <c r="B38" s="358">
        <f>COUNTA($D$2:D38)</f>
        <v>37</v>
      </c>
      <c r="C38" s="359" t="s">
        <v>524</v>
      </c>
      <c r="D38" s="360" t="s">
        <v>527</v>
      </c>
      <c r="E38" s="361">
        <v>2.34</v>
      </c>
      <c r="F38" s="362">
        <v>0.33</v>
      </c>
      <c r="G38" s="363" t="str">
        <f t="shared" si="0"/>
        <v>A1</v>
      </c>
      <c r="H38" s="363" t="str">
        <f t="shared" si="1"/>
        <v>- - -</v>
      </c>
      <c r="I38" s="357"/>
      <c r="J38" s="364"/>
      <c r="L38" s="375">
        <v>39</v>
      </c>
    </row>
    <row r="39" spans="1:12" s="365" customFormat="1" ht="20.25" customHeight="1" x14ac:dyDescent="0.2">
      <c r="A39" s="357"/>
      <c r="B39" s="358">
        <f>COUNTA($D$2:D39)</f>
        <v>38</v>
      </c>
      <c r="C39" s="359" t="s">
        <v>528</v>
      </c>
      <c r="D39" s="360" t="s">
        <v>531</v>
      </c>
      <c r="E39" s="361">
        <v>6.2</v>
      </c>
      <c r="F39" s="362">
        <v>0.36</v>
      </c>
      <c r="G39" s="363" t="str">
        <f t="shared" si="0"/>
        <v>A3</v>
      </c>
      <c r="H39" s="363" t="str">
        <f>IF(AND(G39="A3",E39=6.2),"A3.1",IF(AND(G39="A3",E39=5.75),"A3.2",IF(AND(G39="A2",E39=4.4),"A2.1",IF(AND(G39="A2",E39=4),"A2.2",IF(G39="C","Nhân viên","- - -")))))</f>
        <v>A3.1</v>
      </c>
      <c r="I39" s="357"/>
      <c r="J39" s="364"/>
      <c r="L39" s="376">
        <v>40</v>
      </c>
    </row>
    <row r="40" spans="1:12" s="365" customFormat="1" ht="20.25" customHeight="1" x14ac:dyDescent="0.2">
      <c r="A40" s="357"/>
      <c r="B40" s="358">
        <f>COUNTA($D$2:D40)</f>
        <v>39</v>
      </c>
      <c r="C40" s="359" t="s">
        <v>529</v>
      </c>
      <c r="D40" s="360" t="s">
        <v>532</v>
      </c>
      <c r="E40" s="361">
        <v>4.4000000000000004</v>
      </c>
      <c r="F40" s="362">
        <v>0.34</v>
      </c>
      <c r="G40" s="363" t="str">
        <f t="shared" si="0"/>
        <v>A2</v>
      </c>
      <c r="H40" s="363" t="str">
        <f>IF(AND(G40="A3",E40=6.2),"A3.1",IF(AND(G40="A3",E40=5.75),"A3.2",IF(AND(G40="A2",E40=4.4),"A2.1",IF(AND(G40="A2",E40=4),"A2.2",IF(G40="C","Nhân viên","- - -")))))</f>
        <v>A2.1</v>
      </c>
      <c r="I40" s="357"/>
      <c r="J40" s="364"/>
      <c r="L40" s="375">
        <v>41</v>
      </c>
    </row>
    <row r="41" spans="1:12" s="365" customFormat="1" ht="20.25" customHeight="1" x14ac:dyDescent="0.2">
      <c r="A41" s="357"/>
      <c r="B41" s="358">
        <f>COUNTA($D$2:D41)</f>
        <v>40</v>
      </c>
      <c r="C41" s="359" t="s">
        <v>530</v>
      </c>
      <c r="D41" s="360" t="s">
        <v>533</v>
      </c>
      <c r="E41" s="361">
        <v>2.34</v>
      </c>
      <c r="F41" s="362">
        <v>0.33</v>
      </c>
      <c r="G41" s="363" t="str">
        <f t="shared" si="0"/>
        <v>A1</v>
      </c>
      <c r="H41" s="363" t="str">
        <f>IF(AND(G41="A3",E41=6.2),"A3.1",IF(AND(G41="A3",E41=5.75),"A3.2",IF(AND(G41="A2",E41=4.4),"A2.1",IF(AND(G41="A2",E41=4),"A2.2",IF(G41="C","Nhân viên","- - -")))))</f>
        <v>- - -</v>
      </c>
      <c r="I41" s="357"/>
      <c r="J41" s="364"/>
      <c r="L41" s="376">
        <v>42</v>
      </c>
    </row>
    <row r="42" spans="1:12" s="366" customFormat="1" ht="20.25" customHeight="1" x14ac:dyDescent="0.2">
      <c r="B42" s="367">
        <f>COUNTA($D$2:D42)</f>
        <v>41</v>
      </c>
      <c r="C42" s="368" t="s">
        <v>288</v>
      </c>
      <c r="D42" s="369" t="s">
        <v>174</v>
      </c>
      <c r="E42" s="370">
        <v>4.4000000000000004</v>
      </c>
      <c r="F42" s="371">
        <v>0.34</v>
      </c>
      <c r="G42" s="372" t="str">
        <f>IF(F42=0.36,"A3",IF(F42=0.34,"A2",IF(F42=0.33,"A1",IF(F42=0.31,"A0",IF(F42=0.2,"B",IF(F42=0.18,"C"))))))</f>
        <v>A2</v>
      </c>
      <c r="H42" s="372" t="str">
        <f>IF(AND(G42="A3",E42=6.2),"A3.1",IF(AND(G42="A3",E42=5.75),"A3.2",IF(AND(G42="A2",E42=4.4),"A2.1",IF(AND(G42="A2",E42=4),"A2.2",IF(G42="C","Nhân viên","- - -")))))</f>
        <v>A2.1</v>
      </c>
      <c r="J42" s="373"/>
      <c r="L42" s="375">
        <v>43</v>
      </c>
    </row>
    <row r="43" spans="1:12" s="366" customFormat="1" ht="20.25" customHeight="1" x14ac:dyDescent="0.2">
      <c r="B43" s="367">
        <f>COUNTA($D$2:D43)</f>
        <v>42</v>
      </c>
      <c r="C43" s="368" t="s">
        <v>47</v>
      </c>
      <c r="D43" s="369" t="s">
        <v>50</v>
      </c>
      <c r="E43" s="370">
        <v>4.4000000000000004</v>
      </c>
      <c r="F43" s="371">
        <v>0.34</v>
      </c>
      <c r="G43" s="372" t="str">
        <f>IF(F43=0.36,"A3",IF(F43=0.34,"A2",IF(F43=0.33,"A1",IF(F43=0.31,"A0",IF(F43=0.2,"B",IF(F43=0.18,"C"))))))</f>
        <v>A2</v>
      </c>
      <c r="H43" s="372" t="str">
        <f>IF(AND(G43="A3",E43=6.2),"A3.1",IF(AND(G43="A3",E43=5.75),"A3.2",IF(AND(G43="A2",E43=4.4),"A2.1",IF(AND(G43="A2",E43=4),"A2.2",IF(G43="C","Nhân viên","- - -")))))</f>
        <v>A2.1</v>
      </c>
      <c r="J43" s="373"/>
      <c r="L43" s="376">
        <v>44</v>
      </c>
    </row>
    <row r="44" spans="1:12" s="3" customFormat="1" ht="20.25" customHeight="1" x14ac:dyDescent="0.2">
      <c r="A44" s="263"/>
      <c r="B44" s="256">
        <f>COUNTA($D$2:D44)</f>
        <v>43</v>
      </c>
      <c r="C44" s="9" t="s">
        <v>176</v>
      </c>
      <c r="D44" s="129" t="s">
        <v>177</v>
      </c>
      <c r="E44" s="10">
        <v>5.75</v>
      </c>
      <c r="F44" s="11">
        <v>0.36</v>
      </c>
      <c r="G44" s="6" t="str">
        <f t="shared" si="0"/>
        <v>A3</v>
      </c>
      <c r="H44" s="6" t="str">
        <f t="shared" si="1"/>
        <v>A3.2</v>
      </c>
      <c r="I44" s="263"/>
      <c r="J44" s="5"/>
      <c r="L44" s="375">
        <v>45</v>
      </c>
    </row>
    <row r="45" spans="1:12" s="3" customFormat="1" ht="20.25" customHeight="1" x14ac:dyDescent="0.2">
      <c r="A45" s="1"/>
      <c r="B45" s="256">
        <f>COUNTA($D$2:D45)</f>
        <v>44</v>
      </c>
      <c r="C45" s="9" t="s">
        <v>62</v>
      </c>
      <c r="D45" s="129" t="s">
        <v>178</v>
      </c>
      <c r="E45" s="10">
        <v>4</v>
      </c>
      <c r="F45" s="11">
        <v>0.34</v>
      </c>
      <c r="G45" s="6" t="str">
        <f t="shared" si="0"/>
        <v>A2</v>
      </c>
      <c r="H45" s="6" t="str">
        <f t="shared" si="1"/>
        <v>A2.2</v>
      </c>
      <c r="I45" s="1"/>
      <c r="J45" s="5"/>
      <c r="L45" s="376">
        <v>46</v>
      </c>
    </row>
    <row r="46" spans="1:12" s="3" customFormat="1" ht="20.25" customHeight="1" x14ac:dyDescent="0.2">
      <c r="A46" s="1"/>
      <c r="B46" s="256">
        <f>COUNTA($D$2:D46)</f>
        <v>45</v>
      </c>
      <c r="C46" s="9" t="s">
        <v>340</v>
      </c>
      <c r="D46" s="129" t="s">
        <v>179</v>
      </c>
      <c r="E46" s="10">
        <v>2.34</v>
      </c>
      <c r="F46" s="11">
        <v>0.33</v>
      </c>
      <c r="G46" s="6" t="str">
        <f t="shared" si="0"/>
        <v>A1</v>
      </c>
      <c r="H46" s="6" t="str">
        <f t="shared" si="1"/>
        <v>- - -</v>
      </c>
      <c r="I46" s="1"/>
      <c r="J46" s="5"/>
      <c r="L46" s="375">
        <v>47</v>
      </c>
    </row>
    <row r="47" spans="1:12" s="3" customFormat="1" ht="20.25" customHeight="1" x14ac:dyDescent="0.2">
      <c r="A47" s="1"/>
      <c r="B47" s="256">
        <f>COUNTA($D$2:D47)</f>
        <v>46</v>
      </c>
      <c r="C47" s="9" t="s">
        <v>68</v>
      </c>
      <c r="D47" s="129" t="s">
        <v>180</v>
      </c>
      <c r="E47" s="10">
        <v>2.1</v>
      </c>
      <c r="F47" s="11">
        <v>0.31</v>
      </c>
      <c r="G47" s="6" t="str">
        <f t="shared" si="0"/>
        <v>A0</v>
      </c>
      <c r="H47" s="6" t="str">
        <f t="shared" si="1"/>
        <v>- - -</v>
      </c>
      <c r="I47" s="1"/>
      <c r="J47" s="5"/>
      <c r="L47" s="376">
        <v>48</v>
      </c>
    </row>
    <row r="48" spans="1:12" s="3" customFormat="1" ht="20.25" customHeight="1" x14ac:dyDescent="0.2">
      <c r="A48" s="1"/>
      <c r="B48" s="256">
        <f>COUNTA($D$2:D48)</f>
        <v>47</v>
      </c>
      <c r="C48" s="9" t="s">
        <v>61</v>
      </c>
      <c r="D48" s="129" t="s">
        <v>181</v>
      </c>
      <c r="E48" s="10">
        <v>1.86</v>
      </c>
      <c r="F48" s="11">
        <v>0.2</v>
      </c>
      <c r="G48" s="6" t="str">
        <f t="shared" si="0"/>
        <v>B</v>
      </c>
      <c r="H48" s="6" t="str">
        <f t="shared" si="1"/>
        <v>- - -</v>
      </c>
      <c r="I48" s="1"/>
      <c r="J48" s="5"/>
      <c r="L48" s="375">
        <v>49</v>
      </c>
    </row>
    <row r="49" spans="1:13" s="3" customFormat="1" ht="20.25" customHeight="1" x14ac:dyDescent="0.2">
      <c r="A49" s="1"/>
      <c r="B49" s="256">
        <f>COUNTA($D$2:D49)</f>
        <v>48</v>
      </c>
      <c r="C49" s="9" t="s">
        <v>88</v>
      </c>
      <c r="D49" s="129" t="s">
        <v>183</v>
      </c>
      <c r="E49" s="10">
        <v>2.34</v>
      </c>
      <c r="F49" s="11">
        <v>0.33</v>
      </c>
      <c r="G49" s="6" t="str">
        <f t="shared" si="0"/>
        <v>A1</v>
      </c>
      <c r="H49" s="6" t="str">
        <f t="shared" si="1"/>
        <v>- - -</v>
      </c>
      <c r="I49" s="1"/>
      <c r="J49" s="5"/>
      <c r="L49" s="376">
        <v>50</v>
      </c>
    </row>
    <row r="50" spans="1:13" s="3" customFormat="1" ht="20.25" customHeight="1" x14ac:dyDescent="0.2">
      <c r="A50" s="1"/>
      <c r="B50" s="256">
        <f>COUNTA($D$2:D50)</f>
        <v>49</v>
      </c>
      <c r="C50" s="9" t="s">
        <v>184</v>
      </c>
      <c r="D50" s="129" t="s">
        <v>185</v>
      </c>
      <c r="E50" s="10">
        <v>2.1</v>
      </c>
      <c r="F50" s="11">
        <v>0.31</v>
      </c>
      <c r="G50" s="6" t="str">
        <f t="shared" si="0"/>
        <v>A0</v>
      </c>
      <c r="H50" s="6" t="str">
        <f t="shared" si="1"/>
        <v>- - -</v>
      </c>
      <c r="I50" s="263"/>
      <c r="J50" s="5"/>
      <c r="L50" s="375">
        <v>51</v>
      </c>
    </row>
    <row r="51" spans="1:13" s="3" customFormat="1" ht="20.25" customHeight="1" x14ac:dyDescent="0.2">
      <c r="A51" s="263"/>
      <c r="B51" s="256">
        <f>COUNTA($D$2:D51)</f>
        <v>50</v>
      </c>
      <c r="C51" s="9" t="s">
        <v>186</v>
      </c>
      <c r="D51" s="129" t="s">
        <v>187</v>
      </c>
      <c r="E51" s="10">
        <v>1.86</v>
      </c>
      <c r="F51" s="11">
        <v>0.2</v>
      </c>
      <c r="G51" s="6" t="str">
        <f t="shared" si="0"/>
        <v>B</v>
      </c>
      <c r="H51" s="6" t="str">
        <f t="shared" si="1"/>
        <v>- - -</v>
      </c>
      <c r="I51" s="263"/>
      <c r="J51" s="5"/>
      <c r="L51" s="376">
        <v>52</v>
      </c>
    </row>
    <row r="52" spans="1:13" s="130" customFormat="1" ht="20.25" customHeight="1" x14ac:dyDescent="0.2">
      <c r="A52" s="264"/>
      <c r="B52" s="256">
        <f>COUNTA($D$2:D52)</f>
        <v>51</v>
      </c>
      <c r="C52" s="131" t="s">
        <v>421</v>
      </c>
      <c r="D52" s="132" t="s">
        <v>189</v>
      </c>
      <c r="E52" s="133">
        <v>2.0499999999999998</v>
      </c>
      <c r="F52" s="134">
        <v>0.18</v>
      </c>
      <c r="G52" s="135" t="str">
        <f t="shared" si="0"/>
        <v>C</v>
      </c>
      <c r="H52" s="135" t="str">
        <f t="shared" si="1"/>
        <v>Nhân viên</v>
      </c>
      <c r="I52" s="263"/>
      <c r="J52" s="136"/>
      <c r="L52" s="375">
        <v>53</v>
      </c>
    </row>
    <row r="53" spans="1:13" s="130" customFormat="1" ht="20.25" customHeight="1" x14ac:dyDescent="0.2">
      <c r="A53" s="264"/>
      <c r="B53" s="256">
        <f>COUNTA($D$2:D53)</f>
        <v>52</v>
      </c>
      <c r="C53" s="131" t="s">
        <v>87</v>
      </c>
      <c r="D53" s="132" t="s">
        <v>423</v>
      </c>
      <c r="E53" s="133">
        <v>1.5</v>
      </c>
      <c r="F53" s="134">
        <v>0.18</v>
      </c>
      <c r="G53" s="135" t="str">
        <f t="shared" si="0"/>
        <v>C</v>
      </c>
      <c r="H53" s="135" t="str">
        <f t="shared" si="1"/>
        <v>Nhân viên</v>
      </c>
      <c r="I53" s="263"/>
      <c r="J53" s="136"/>
      <c r="L53" s="376">
        <v>54</v>
      </c>
      <c r="M53" s="137"/>
    </row>
    <row r="54" spans="1:13" s="130" customFormat="1" ht="20.25" customHeight="1" x14ac:dyDescent="0.2">
      <c r="A54" s="264"/>
      <c r="B54" s="256">
        <f>COUNTA($D$2:D54)</f>
        <v>53</v>
      </c>
      <c r="C54" s="131" t="s">
        <v>357</v>
      </c>
      <c r="D54" s="132" t="s">
        <v>190</v>
      </c>
      <c r="E54" s="133">
        <v>1.65</v>
      </c>
      <c r="F54" s="134">
        <v>0.18</v>
      </c>
      <c r="G54" s="135" t="str">
        <f>IF(F54=0.36,"A3",IF(F54=0.34,"A2",IF(F54=0.33,"A1",IF(F54=0.31,"A0",IF(F54=0.2,"B",IF(F54=0.18,"C"))))))</f>
        <v>C</v>
      </c>
      <c r="H54" s="135" t="str">
        <f>IF(AND(G54="A3",E54=6.2),"A3.1",IF(AND(G54="A3",E54=5.75),"A3.2",IF(AND(G54="A2",E54=4.4),"A2.1",IF(AND(G54="A2",E54=4),"A2.2",IF(G54="C","Nhân viên","- - -")))))</f>
        <v>Nhân viên</v>
      </c>
      <c r="I54" s="263"/>
      <c r="J54" s="136"/>
      <c r="L54" s="375">
        <v>55</v>
      </c>
    </row>
    <row r="55" spans="1:13" s="130" customFormat="1" ht="20.25" customHeight="1" x14ac:dyDescent="0.2">
      <c r="A55" s="264"/>
      <c r="B55" s="256">
        <f>COUNTA($D$2:D55)</f>
        <v>54</v>
      </c>
      <c r="C55" s="131" t="s">
        <v>420</v>
      </c>
      <c r="D55" s="132" t="s">
        <v>422</v>
      </c>
      <c r="E55" s="133">
        <v>1.35</v>
      </c>
      <c r="F55" s="134">
        <v>0.18</v>
      </c>
      <c r="G55" s="135" t="str">
        <f>IF(F55=0.36,"A3",IF(F55=0.34,"A2",IF(F55=0.33,"A1",IF(F55=0.31,"A0",IF(F55=0.2,"B",IF(F55=0.18,"C"))))))</f>
        <v>C</v>
      </c>
      <c r="H55" s="135" t="str">
        <f>IF(AND(G55="A3",E55=6.2),"A3.1",IF(AND(G55="A3",E55=5.75),"A3.2",IF(AND(G55="A2",E55=4.4),"A2.1",IF(AND(G55="A2",E55=4),"A2.2",IF(G55="C","Nhân viên","- - -")))))</f>
        <v>Nhân viên</v>
      </c>
      <c r="I55" s="263"/>
      <c r="J55" s="136"/>
      <c r="L55" s="376">
        <v>56</v>
      </c>
      <c r="M55" s="137"/>
    </row>
    <row r="56" spans="1:13" s="130" customFormat="1" ht="20.25" customHeight="1" x14ac:dyDescent="0.2">
      <c r="A56" s="264"/>
      <c r="B56" s="256">
        <f>COUNTA($D$2:D56)</f>
        <v>55</v>
      </c>
      <c r="C56" s="131" t="s">
        <v>355</v>
      </c>
      <c r="D56" s="132" t="s">
        <v>191</v>
      </c>
      <c r="E56" s="133">
        <v>1</v>
      </c>
      <c r="F56" s="134">
        <v>0.18</v>
      </c>
      <c r="G56" s="135" t="str">
        <f t="shared" si="0"/>
        <v>C</v>
      </c>
      <c r="H56" s="135" t="str">
        <f t="shared" si="1"/>
        <v>Nhân viên</v>
      </c>
      <c r="I56" s="263"/>
      <c r="J56" s="136"/>
      <c r="L56" s="375">
        <v>57</v>
      </c>
    </row>
    <row r="57" spans="1:13" s="130" customFormat="1" ht="20.25" customHeight="1" x14ac:dyDescent="0.2">
      <c r="A57" s="264"/>
      <c r="B57" s="256">
        <f>COUNTA($D$2:D57)</f>
        <v>56</v>
      </c>
      <c r="C57" s="131" t="s">
        <v>354</v>
      </c>
      <c r="D57" s="132" t="s">
        <v>182</v>
      </c>
      <c r="E57" s="133">
        <v>2.0499999999999998</v>
      </c>
      <c r="F57" s="134">
        <v>0.18</v>
      </c>
      <c r="G57" s="135" t="str">
        <f>IF(F57=0.36,"A3",IF(F57=0.34,"A2",IF(F57=0.33,"A1",IF(F57=0.31,"A0",IF(F57=0.2,"B",IF(F57=0.18,"C"))))))</f>
        <v>C</v>
      </c>
      <c r="H57" s="135" t="str">
        <f>IF(AND(G57="A3",E57=6.2),"A3.1",IF(AND(G57="A3",E57=5.75),"A3.2",IF(AND(G57="A2",E57=4.4),"A2.1",IF(AND(G57="A2",E57=4),"A2.2",IF(G57="C","Nhân viên","- - -")))))</f>
        <v>Nhân viên</v>
      </c>
      <c r="I57" s="263"/>
      <c r="J57" s="136"/>
      <c r="L57" s="376">
        <v>58</v>
      </c>
    </row>
    <row r="58" spans="1:13" s="130" customFormat="1" ht="20.25" customHeight="1" x14ac:dyDescent="0.2">
      <c r="A58" s="264"/>
      <c r="B58" s="256">
        <f>COUNTA($D$2:D58)</f>
        <v>57</v>
      </c>
      <c r="C58" s="131" t="s">
        <v>356</v>
      </c>
      <c r="D58" s="132" t="s">
        <v>188</v>
      </c>
      <c r="E58" s="133">
        <v>1.5</v>
      </c>
      <c r="F58" s="134">
        <v>0.18</v>
      </c>
      <c r="G58" s="135" t="str">
        <f>IF(F58=0.36,"A3",IF(F58=0.34,"A2",IF(F58=0.33,"A1",IF(F58=0.31,"A0",IF(F58=0.2,"B",IF(F58=0.18,"C"))))))</f>
        <v>C</v>
      </c>
      <c r="H58" s="135" t="str">
        <f>IF(AND(G58="A3",E58=6.2),"A3.1",IF(AND(G58="A3",E58=5.75),"A3.2",IF(AND(G58="A2",E58=4.4),"A2.1",IF(AND(G58="A2",E58=4),"A2.2",IF(G58="C","Nhân viên","- - -")))))</f>
        <v>Nhân viên</v>
      </c>
      <c r="I58" s="263"/>
      <c r="J58" s="136"/>
      <c r="L58" s="375">
        <v>59</v>
      </c>
    </row>
    <row r="59" spans="1:13" s="3" customFormat="1" ht="20.25" customHeight="1" x14ac:dyDescent="0.2">
      <c r="A59" s="263"/>
      <c r="B59" s="256">
        <f>COUNTA($D$2:D59)</f>
        <v>58</v>
      </c>
      <c r="C59" s="9" t="s">
        <v>58</v>
      </c>
      <c r="D59" s="129" t="s">
        <v>192</v>
      </c>
      <c r="E59" s="10">
        <v>1.65</v>
      </c>
      <c r="F59" s="11">
        <v>0.18</v>
      </c>
      <c r="G59" s="6" t="str">
        <f>IF(F59=0.36,"A3",IF(F59=0.34,"A2",IF(F59=0.33,"A1",IF(F59=0.31,"A0",IF(F59=0.2,"B",IF(F59=0.18,"C"))))))</f>
        <v>C</v>
      </c>
      <c r="H59" s="6" t="str">
        <f>IF(AND(G59="A3",E59=6.2),"A3.1",IF(AND(G59="A3",E59=5.75),"A3.2",IF(AND(G59="A2",E59=4.4),"A2.1",IF(AND(G59="A2",E59=4),"A2.2",IF(G59="C","Nhân viên","- - -")))))</f>
        <v>Nhân viên</v>
      </c>
      <c r="I59" s="263"/>
      <c r="J59" s="5"/>
      <c r="L59" s="376">
        <v>60</v>
      </c>
    </row>
    <row r="60" spans="1:13" s="3" customFormat="1" ht="20.25" customHeight="1" x14ac:dyDescent="0.2">
      <c r="A60" s="1"/>
      <c r="B60" s="256">
        <f>COUNTA($D$2:D60)</f>
        <v>59</v>
      </c>
      <c r="C60" s="9" t="s">
        <v>193</v>
      </c>
      <c r="D60" s="129" t="s">
        <v>194</v>
      </c>
      <c r="E60" s="10">
        <v>1.5</v>
      </c>
      <c r="F60" s="11">
        <v>0.18</v>
      </c>
      <c r="G60" s="6" t="str">
        <f t="shared" si="0"/>
        <v>C</v>
      </c>
      <c r="H60" s="6" t="str">
        <f t="shared" si="1"/>
        <v>Nhân viên</v>
      </c>
      <c r="I60" s="263"/>
      <c r="J60" s="5"/>
      <c r="L60" s="375">
        <v>61</v>
      </c>
    </row>
    <row r="61" spans="1:13" s="3" customFormat="1" ht="20.25" customHeight="1" x14ac:dyDescent="0.2">
      <c r="A61" s="1"/>
      <c r="B61" s="265"/>
      <c r="C61" s="9"/>
      <c r="D61" s="129"/>
      <c r="E61" s="16"/>
      <c r="F61" s="17"/>
      <c r="G61" s="14"/>
      <c r="H61" s="14"/>
      <c r="I61" s="1"/>
      <c r="J61" s="5"/>
      <c r="L61" s="376">
        <v>62</v>
      </c>
    </row>
    <row r="62" spans="1:13" s="3" customFormat="1" ht="20.25" customHeight="1" x14ac:dyDescent="0.2">
      <c r="A62" s="1"/>
      <c r="B62" s="266"/>
      <c r="C62" s="267" t="s">
        <v>245</v>
      </c>
      <c r="D62" s="268" t="s">
        <v>246</v>
      </c>
      <c r="E62" s="269"/>
      <c r="F62" s="270"/>
      <c r="G62" s="271"/>
      <c r="H62" s="271"/>
      <c r="I62" s="1"/>
      <c r="J62" s="5"/>
      <c r="L62" s="375">
        <v>63</v>
      </c>
    </row>
    <row r="63" spans="1:13" s="278" customFormat="1" ht="20.25" customHeight="1" x14ac:dyDescent="0.2">
      <c r="A63" s="1"/>
      <c r="B63" s="256">
        <f>COUNTA($D$63:D63)</f>
        <v>1</v>
      </c>
      <c r="C63" s="272" t="s">
        <v>235</v>
      </c>
      <c r="D63" s="273">
        <v>1.25</v>
      </c>
      <c r="E63" s="274"/>
      <c r="F63" s="275"/>
      <c r="G63" s="276"/>
      <c r="H63" s="276"/>
      <c r="I63" s="1"/>
      <c r="J63" s="277"/>
      <c r="L63" s="376">
        <v>64</v>
      </c>
    </row>
    <row r="64" spans="1:13" s="278" customFormat="1" ht="20.25" customHeight="1" x14ac:dyDescent="0.2">
      <c r="A64" s="1"/>
      <c r="B64" s="256">
        <f>COUNTA($D$63:D64)</f>
        <v>2</v>
      </c>
      <c r="C64" s="272" t="s">
        <v>236</v>
      </c>
      <c r="D64" s="279">
        <v>1.1000000000000001</v>
      </c>
      <c r="E64" s="274"/>
      <c r="F64" s="275"/>
      <c r="G64" s="276"/>
      <c r="H64" s="276"/>
      <c r="I64" s="1"/>
      <c r="J64" s="277"/>
      <c r="L64" s="375">
        <v>65</v>
      </c>
    </row>
    <row r="65" spans="1:12" s="278" customFormat="1" ht="20.25" customHeight="1" x14ac:dyDescent="0.2">
      <c r="A65" s="1"/>
      <c r="B65" s="256">
        <f>COUNTA($D$63:D65)</f>
        <v>3</v>
      </c>
      <c r="C65" s="272" t="s">
        <v>255</v>
      </c>
      <c r="D65" s="279">
        <v>1.1000000000000001</v>
      </c>
      <c r="E65" s="274"/>
      <c r="F65" s="275"/>
      <c r="G65" s="276"/>
      <c r="H65" s="276"/>
      <c r="I65" s="1"/>
      <c r="J65" s="277"/>
      <c r="L65" s="376">
        <v>66</v>
      </c>
    </row>
    <row r="66" spans="1:12" s="278" customFormat="1" ht="20.25" customHeight="1" x14ac:dyDescent="0.2">
      <c r="A66" s="1"/>
      <c r="B66" s="256">
        <f>COUNTA($D$63:D66)</f>
        <v>4</v>
      </c>
      <c r="C66" s="280" t="s">
        <v>240</v>
      </c>
      <c r="D66" s="281">
        <v>1</v>
      </c>
      <c r="E66" s="274"/>
      <c r="F66" s="275"/>
      <c r="G66" s="276"/>
      <c r="H66" s="276"/>
      <c r="I66" s="1"/>
      <c r="J66" s="277"/>
      <c r="L66" s="375">
        <v>67</v>
      </c>
    </row>
    <row r="67" spans="1:12" s="278" customFormat="1" ht="20.25" customHeight="1" x14ac:dyDescent="0.2">
      <c r="A67" s="1"/>
      <c r="B67" s="256">
        <f>COUNTA($D$63:D67)</f>
        <v>5</v>
      </c>
      <c r="C67" s="280" t="s">
        <v>237</v>
      </c>
      <c r="D67" s="281">
        <v>1</v>
      </c>
      <c r="E67" s="274"/>
      <c r="F67" s="275"/>
      <c r="G67" s="276"/>
      <c r="H67" s="276"/>
      <c r="I67" s="1"/>
      <c r="J67" s="277"/>
      <c r="L67" s="376">
        <v>68</v>
      </c>
    </row>
    <row r="68" spans="1:12" s="278" customFormat="1" ht="20.25" customHeight="1" x14ac:dyDescent="0.2">
      <c r="A68" s="1"/>
      <c r="B68" s="256">
        <f>COUNTA($D$63:D68)</f>
        <v>6</v>
      </c>
      <c r="C68" s="280" t="s">
        <v>456</v>
      </c>
      <c r="D68" s="281">
        <v>1</v>
      </c>
      <c r="E68" s="274"/>
      <c r="F68" s="275"/>
      <c r="G68" s="276"/>
      <c r="H68" s="276"/>
      <c r="I68" s="1"/>
      <c r="J68" s="277"/>
      <c r="L68" s="375">
        <v>69</v>
      </c>
    </row>
    <row r="69" spans="1:12" s="278" customFormat="1" ht="20.25" customHeight="1" x14ac:dyDescent="0.2">
      <c r="A69" s="1"/>
      <c r="B69" s="256">
        <f>COUNTA($D$63:D69)</f>
        <v>7</v>
      </c>
      <c r="C69" s="280" t="s">
        <v>473</v>
      </c>
      <c r="D69" s="281">
        <v>1</v>
      </c>
      <c r="E69" s="274"/>
      <c r="F69" s="275"/>
      <c r="G69" s="276"/>
      <c r="H69" s="276"/>
      <c r="I69" s="1"/>
      <c r="J69" s="277"/>
      <c r="L69" s="376">
        <v>70</v>
      </c>
    </row>
    <row r="70" spans="1:12" s="278" customFormat="1" ht="20.25" customHeight="1" x14ac:dyDescent="0.2">
      <c r="A70" s="1"/>
      <c r="B70" s="256">
        <f>COUNTA($D$63:D70)</f>
        <v>8</v>
      </c>
      <c r="C70" s="280" t="s">
        <v>251</v>
      </c>
      <c r="D70" s="281">
        <v>1</v>
      </c>
      <c r="E70" s="274"/>
      <c r="F70" s="275"/>
      <c r="G70" s="276"/>
      <c r="H70" s="276"/>
      <c r="I70" s="1"/>
      <c r="J70" s="277"/>
      <c r="L70" s="375">
        <v>71</v>
      </c>
    </row>
    <row r="71" spans="1:12" s="278" customFormat="1" ht="20.25" customHeight="1" x14ac:dyDescent="0.2">
      <c r="A71" s="1"/>
      <c r="B71" s="256">
        <f>COUNTA($D$63:D71)</f>
        <v>9</v>
      </c>
      <c r="C71" s="280" t="s">
        <v>239</v>
      </c>
      <c r="D71" s="281">
        <v>1</v>
      </c>
      <c r="E71" s="274"/>
      <c r="F71" s="275"/>
      <c r="G71" s="276"/>
      <c r="H71" s="276"/>
      <c r="I71" s="1"/>
      <c r="J71" s="277"/>
      <c r="L71" s="376">
        <v>72</v>
      </c>
    </row>
    <row r="72" spans="1:12" s="278" customFormat="1" ht="20.25" customHeight="1" x14ac:dyDescent="0.2">
      <c r="A72" s="1"/>
      <c r="B72" s="256">
        <f>COUNTA($D$63:D72)</f>
        <v>10</v>
      </c>
      <c r="C72" s="280" t="s">
        <v>241</v>
      </c>
      <c r="D72" s="281">
        <v>1</v>
      </c>
      <c r="E72" s="274"/>
      <c r="F72" s="275"/>
      <c r="G72" s="276"/>
      <c r="H72" s="276"/>
      <c r="I72" s="1"/>
      <c r="J72" s="277"/>
      <c r="L72" s="375">
        <v>73</v>
      </c>
    </row>
    <row r="73" spans="1:12" s="278" customFormat="1" ht="20.25" customHeight="1" x14ac:dyDescent="0.2">
      <c r="A73" s="1"/>
      <c r="B73" s="256">
        <f>COUNTA($D$63:D73)</f>
        <v>11</v>
      </c>
      <c r="C73" s="280" t="s">
        <v>252</v>
      </c>
      <c r="D73" s="281">
        <v>1</v>
      </c>
      <c r="E73" s="274"/>
      <c r="F73" s="275"/>
      <c r="G73" s="276"/>
      <c r="H73" s="276"/>
      <c r="I73" s="1"/>
      <c r="J73" s="277"/>
      <c r="L73" s="376">
        <v>74</v>
      </c>
    </row>
    <row r="74" spans="1:12" s="278" customFormat="1" ht="20.25" customHeight="1" x14ac:dyDescent="0.2">
      <c r="A74" s="1"/>
      <c r="B74" s="256">
        <f>COUNTA($D$63:D74)</f>
        <v>12</v>
      </c>
      <c r="C74" s="280" t="s">
        <v>233</v>
      </c>
      <c r="D74" s="281">
        <v>1</v>
      </c>
      <c r="E74" s="274"/>
      <c r="F74" s="275"/>
      <c r="G74" s="276"/>
      <c r="H74" s="276"/>
      <c r="I74" s="1"/>
      <c r="J74" s="277"/>
      <c r="L74" s="375">
        <v>75</v>
      </c>
    </row>
    <row r="75" spans="1:12" s="278" customFormat="1" ht="20.25" customHeight="1" x14ac:dyDescent="0.2">
      <c r="A75" s="1"/>
      <c r="B75" s="256">
        <f>COUNTA($D$63:D75)</f>
        <v>13</v>
      </c>
      <c r="C75" s="280" t="s">
        <v>254</v>
      </c>
      <c r="D75" s="281">
        <v>1</v>
      </c>
      <c r="E75" s="274"/>
      <c r="F75" s="275"/>
      <c r="G75" s="276"/>
      <c r="H75" s="276"/>
      <c r="I75" s="1"/>
      <c r="J75" s="277"/>
      <c r="L75" s="376">
        <v>76</v>
      </c>
    </row>
    <row r="76" spans="1:12" s="278" customFormat="1" ht="20.25" customHeight="1" x14ac:dyDescent="0.2">
      <c r="A76" s="1"/>
      <c r="B76" s="256">
        <f>COUNTA($D$63:D76)</f>
        <v>14</v>
      </c>
      <c r="C76" s="280" t="s">
        <v>390</v>
      </c>
      <c r="D76" s="281">
        <v>1</v>
      </c>
      <c r="E76" s="274"/>
      <c r="F76" s="275"/>
      <c r="G76" s="276"/>
      <c r="H76" s="276"/>
      <c r="I76" s="1"/>
      <c r="J76" s="277"/>
      <c r="L76" s="375">
        <v>77</v>
      </c>
    </row>
    <row r="77" spans="1:12" s="278" customFormat="1" ht="20.25" customHeight="1" x14ac:dyDescent="0.2">
      <c r="A77" s="1"/>
      <c r="B77" s="256">
        <f>COUNTA($D$63:D77)</f>
        <v>15</v>
      </c>
      <c r="C77" s="280" t="s">
        <v>474</v>
      </c>
      <c r="D77" s="281">
        <v>1</v>
      </c>
      <c r="E77" s="274"/>
      <c r="F77" s="275"/>
      <c r="G77" s="276"/>
      <c r="H77" s="276"/>
      <c r="I77" s="1"/>
      <c r="J77" s="277"/>
      <c r="L77" s="376">
        <v>78</v>
      </c>
    </row>
    <row r="78" spans="1:12" s="278" customFormat="1" ht="20.25" customHeight="1" x14ac:dyDescent="0.2">
      <c r="A78" s="1"/>
      <c r="B78" s="256">
        <f>COUNTA($D$63:D78)</f>
        <v>16</v>
      </c>
      <c r="C78" s="282" t="s">
        <v>575</v>
      </c>
      <c r="D78" s="283">
        <v>0.8</v>
      </c>
      <c r="E78" s="274"/>
      <c r="F78" s="275"/>
      <c r="G78" s="276"/>
      <c r="H78" s="276"/>
      <c r="I78" s="1"/>
      <c r="J78" s="277"/>
      <c r="L78" s="375"/>
    </row>
    <row r="79" spans="1:12" s="278" customFormat="1" ht="20.25" customHeight="1" x14ac:dyDescent="0.2">
      <c r="A79" s="1"/>
      <c r="B79" s="256">
        <f>COUNTA($D$63:D79)</f>
        <v>17</v>
      </c>
      <c r="C79" s="282" t="s">
        <v>238</v>
      </c>
      <c r="D79" s="283">
        <v>0.8</v>
      </c>
      <c r="E79" s="274"/>
      <c r="F79" s="275"/>
      <c r="G79" s="276"/>
      <c r="H79" s="276"/>
      <c r="I79" s="1"/>
      <c r="J79" s="277"/>
      <c r="L79" s="375">
        <v>79</v>
      </c>
    </row>
    <row r="80" spans="1:12" s="278" customFormat="1" ht="20.25" customHeight="1" x14ac:dyDescent="0.2">
      <c r="A80" s="1"/>
      <c r="B80" s="256">
        <f>COUNTA($D$63:D80)</f>
        <v>18</v>
      </c>
      <c r="C80" s="282" t="s">
        <v>452</v>
      </c>
      <c r="D80" s="283">
        <v>0.8</v>
      </c>
      <c r="E80" s="274"/>
      <c r="F80" s="275"/>
      <c r="G80" s="276"/>
      <c r="H80" s="276"/>
      <c r="I80" s="1"/>
      <c r="J80" s="277"/>
      <c r="L80" s="376">
        <v>80</v>
      </c>
    </row>
    <row r="81" spans="1:12" s="278" customFormat="1" ht="20.25" customHeight="1" x14ac:dyDescent="0.2">
      <c r="A81" s="1"/>
      <c r="B81" s="256">
        <f>COUNTA($D$63:D81)</f>
        <v>19</v>
      </c>
      <c r="C81" s="282" t="s">
        <v>242</v>
      </c>
      <c r="D81" s="283">
        <v>0.8</v>
      </c>
      <c r="E81" s="274"/>
      <c r="F81" s="275"/>
      <c r="G81" s="276"/>
      <c r="H81" s="276"/>
      <c r="I81" s="1"/>
      <c r="J81" s="277"/>
      <c r="L81" s="375">
        <v>81</v>
      </c>
    </row>
    <row r="82" spans="1:12" s="278" customFormat="1" ht="20.25" customHeight="1" x14ac:dyDescent="0.2">
      <c r="A82" s="1"/>
      <c r="B82" s="256">
        <f>COUNTA($D$63:D82)</f>
        <v>20</v>
      </c>
      <c r="C82" s="282" t="s">
        <v>395</v>
      </c>
      <c r="D82" s="283">
        <v>0.8</v>
      </c>
      <c r="E82" s="274"/>
      <c r="F82" s="275"/>
      <c r="G82" s="276"/>
      <c r="H82" s="276"/>
      <c r="I82" s="1"/>
      <c r="J82" s="277"/>
      <c r="L82" s="376">
        <v>82</v>
      </c>
    </row>
    <row r="83" spans="1:12" s="278" customFormat="1" ht="20.25" customHeight="1" x14ac:dyDescent="0.2">
      <c r="A83" s="1"/>
      <c r="B83" s="256">
        <f>COUNTA($D$63:D83)</f>
        <v>21</v>
      </c>
      <c r="C83" s="282" t="s">
        <v>475</v>
      </c>
      <c r="D83" s="283">
        <v>0.8</v>
      </c>
      <c r="E83" s="274"/>
      <c r="F83" s="275"/>
      <c r="G83" s="276"/>
      <c r="H83" s="276"/>
      <c r="I83" s="1"/>
      <c r="J83" s="277"/>
      <c r="L83" s="375">
        <v>83</v>
      </c>
    </row>
    <row r="84" spans="1:12" s="278" customFormat="1" ht="20.25" customHeight="1" x14ac:dyDescent="0.2">
      <c r="A84" s="1"/>
      <c r="B84" s="256">
        <f>COUNTA($D$63:D84)</f>
        <v>22</v>
      </c>
      <c r="C84" s="282" t="s">
        <v>253</v>
      </c>
      <c r="D84" s="283">
        <v>0.8</v>
      </c>
      <c r="E84" s="274"/>
      <c r="F84" s="275"/>
      <c r="G84" s="276"/>
      <c r="H84" s="276"/>
      <c r="I84" s="1"/>
      <c r="J84" s="277"/>
      <c r="L84" s="376">
        <v>84</v>
      </c>
    </row>
    <row r="85" spans="1:12" s="278" customFormat="1" ht="20.25" customHeight="1" x14ac:dyDescent="0.2">
      <c r="A85" s="1"/>
      <c r="B85" s="256">
        <f>COUNTA($D$63:D85)</f>
        <v>23</v>
      </c>
      <c r="C85" s="282" t="s">
        <v>476</v>
      </c>
      <c r="D85" s="283">
        <v>0.8</v>
      </c>
      <c r="E85" s="274"/>
      <c r="F85" s="275"/>
      <c r="G85" s="276"/>
      <c r="H85" s="276"/>
      <c r="I85" s="1"/>
      <c r="J85" s="277"/>
      <c r="L85" s="375">
        <v>85</v>
      </c>
    </row>
    <row r="86" spans="1:12" s="278" customFormat="1" ht="20.25" customHeight="1" x14ac:dyDescent="0.2">
      <c r="A86" s="1"/>
      <c r="B86" s="256">
        <f>COUNTA($D$63:D86)</f>
        <v>24</v>
      </c>
      <c r="C86" s="282" t="s">
        <v>477</v>
      </c>
      <c r="D86" s="283">
        <v>0.8</v>
      </c>
      <c r="E86" s="274"/>
      <c r="F86" s="275"/>
      <c r="G86" s="276"/>
      <c r="H86" s="276"/>
      <c r="I86" s="1"/>
      <c r="J86" s="277"/>
      <c r="L86" s="376">
        <v>86</v>
      </c>
    </row>
    <row r="87" spans="1:12" s="278" customFormat="1" ht="20.25" customHeight="1" x14ac:dyDescent="0.2">
      <c r="A87" s="1"/>
      <c r="B87" s="256">
        <f>COUNTA($D$63:D87)</f>
        <v>25</v>
      </c>
      <c r="C87" s="282" t="s">
        <v>391</v>
      </c>
      <c r="D87" s="283">
        <v>0.8</v>
      </c>
      <c r="E87" s="274"/>
      <c r="F87" s="275"/>
      <c r="G87" s="276"/>
      <c r="H87" s="276"/>
      <c r="I87" s="1"/>
      <c r="J87" s="277"/>
      <c r="L87" s="375">
        <v>87</v>
      </c>
    </row>
    <row r="88" spans="1:12" s="278" customFormat="1" ht="20.25" customHeight="1" x14ac:dyDescent="0.2">
      <c r="A88" s="1"/>
      <c r="B88" s="256">
        <f>COUNTA($D$63:D88)</f>
        <v>26</v>
      </c>
      <c r="C88" s="282" t="s">
        <v>458</v>
      </c>
      <c r="D88" s="283">
        <v>0.8</v>
      </c>
      <c r="E88" s="274"/>
      <c r="F88" s="275"/>
      <c r="G88" s="276"/>
      <c r="H88" s="276"/>
      <c r="I88" s="1"/>
      <c r="J88" s="277"/>
      <c r="L88" s="376">
        <v>88</v>
      </c>
    </row>
    <row r="89" spans="1:12" s="278" customFormat="1" ht="20.25" customHeight="1" x14ac:dyDescent="0.2">
      <c r="A89" s="1"/>
      <c r="B89" s="256">
        <f>COUNTA($D$63:D89)</f>
        <v>27</v>
      </c>
      <c r="C89" s="284" t="s">
        <v>392</v>
      </c>
      <c r="D89" s="285">
        <v>0.6</v>
      </c>
      <c r="E89" s="274"/>
      <c r="F89" s="275"/>
      <c r="G89" s="276"/>
      <c r="H89" s="276"/>
      <c r="I89" s="1"/>
      <c r="J89" s="277"/>
      <c r="L89" s="375">
        <v>89</v>
      </c>
    </row>
    <row r="90" spans="1:12" s="278" customFormat="1" ht="20.25" customHeight="1" x14ac:dyDescent="0.2">
      <c r="A90" s="1"/>
      <c r="B90" s="256">
        <f>COUNTA($D$63:D90)</f>
        <v>28</v>
      </c>
      <c r="C90" s="284" t="s">
        <v>478</v>
      </c>
      <c r="D90" s="285">
        <v>0.6</v>
      </c>
      <c r="E90" s="274"/>
      <c r="F90" s="275"/>
      <c r="G90" s="276"/>
      <c r="H90" s="276"/>
      <c r="I90" s="1"/>
      <c r="J90" s="277"/>
      <c r="L90" s="376">
        <v>90</v>
      </c>
    </row>
    <row r="91" spans="1:12" s="278" customFormat="1" ht="20.25" customHeight="1" x14ac:dyDescent="0.2">
      <c r="A91" s="1"/>
      <c r="B91" s="256">
        <f>COUNTA($D$63:D91)</f>
        <v>29</v>
      </c>
      <c r="C91" s="284" t="s">
        <v>479</v>
      </c>
      <c r="D91" s="285">
        <v>0.6</v>
      </c>
      <c r="E91" s="274"/>
      <c r="F91" s="275"/>
      <c r="G91" s="276"/>
      <c r="H91" s="276"/>
      <c r="I91" s="1"/>
      <c r="J91" s="277"/>
      <c r="L91" s="375">
        <v>91</v>
      </c>
    </row>
    <row r="92" spans="1:12" s="278" customFormat="1" ht="20.25" customHeight="1" x14ac:dyDescent="0.2">
      <c r="A92" s="1"/>
      <c r="B92" s="256">
        <f>COUNTA($D$63:D92)</f>
        <v>30</v>
      </c>
      <c r="C92" s="284" t="s">
        <v>243</v>
      </c>
      <c r="D92" s="285">
        <v>0.6</v>
      </c>
      <c r="E92" s="274"/>
      <c r="F92" s="275"/>
      <c r="G92" s="276"/>
      <c r="H92" s="276"/>
      <c r="I92" s="1"/>
      <c r="J92" s="277"/>
      <c r="L92" s="376">
        <v>92</v>
      </c>
    </row>
    <row r="93" spans="1:12" s="278" customFormat="1" ht="20.25" customHeight="1" x14ac:dyDescent="0.2">
      <c r="A93" s="1"/>
      <c r="B93" s="256">
        <f>COUNTA($D$63:D93)</f>
        <v>31</v>
      </c>
      <c r="C93" s="286" t="s">
        <v>89</v>
      </c>
      <c r="D93" s="285">
        <v>0.6</v>
      </c>
      <c r="E93" s="274"/>
      <c r="F93" s="275"/>
      <c r="G93" s="276"/>
      <c r="H93" s="276"/>
      <c r="I93" s="1"/>
      <c r="J93" s="277"/>
      <c r="L93" s="375">
        <v>93</v>
      </c>
    </row>
    <row r="94" spans="1:12" s="278" customFormat="1" ht="20.25" customHeight="1" x14ac:dyDescent="0.2">
      <c r="A94" s="1"/>
      <c r="B94" s="256">
        <f>COUNTA($D$63:D94)</f>
        <v>32</v>
      </c>
      <c r="C94" s="284" t="s">
        <v>249</v>
      </c>
      <c r="D94" s="285">
        <v>0.6</v>
      </c>
      <c r="E94" s="274"/>
      <c r="F94" s="275"/>
      <c r="G94" s="276"/>
      <c r="H94" s="276"/>
      <c r="I94" s="1"/>
      <c r="J94" s="277"/>
      <c r="L94" s="376">
        <v>94</v>
      </c>
    </row>
    <row r="95" spans="1:12" s="278" customFormat="1" ht="20.25" customHeight="1" x14ac:dyDescent="0.2">
      <c r="A95" s="1"/>
      <c r="B95" s="256">
        <f>COUNTA($D$63:D95)</f>
        <v>33</v>
      </c>
      <c r="C95" s="284" t="s">
        <v>465</v>
      </c>
      <c r="D95" s="285">
        <v>0.6</v>
      </c>
      <c r="E95" s="274"/>
      <c r="F95" s="275"/>
      <c r="G95" s="276"/>
      <c r="H95" s="276"/>
      <c r="I95" s="1"/>
      <c r="J95" s="277"/>
      <c r="L95" s="375">
        <v>95</v>
      </c>
    </row>
    <row r="96" spans="1:12" s="278" customFormat="1" ht="20.25" customHeight="1" x14ac:dyDescent="0.2">
      <c r="A96" s="1"/>
      <c r="B96" s="256">
        <f>COUNTA($D$63:D96)</f>
        <v>34</v>
      </c>
      <c r="C96" s="284" t="s">
        <v>480</v>
      </c>
      <c r="D96" s="285">
        <v>0.6</v>
      </c>
      <c r="E96" s="274"/>
      <c r="F96" s="275"/>
      <c r="G96" s="276"/>
      <c r="H96" s="276"/>
      <c r="I96" s="1"/>
      <c r="J96" s="277"/>
      <c r="L96" s="376">
        <v>96</v>
      </c>
    </row>
    <row r="97" spans="1:12" s="278" customFormat="1" ht="20.25" customHeight="1" x14ac:dyDescent="0.2">
      <c r="A97" s="1"/>
      <c r="B97" s="256">
        <f>COUNTA($D$63:D97)</f>
        <v>35</v>
      </c>
      <c r="C97" s="284" t="s">
        <v>481</v>
      </c>
      <c r="D97" s="285">
        <v>0.6</v>
      </c>
      <c r="E97" s="274"/>
      <c r="F97" s="275"/>
      <c r="G97" s="276"/>
      <c r="H97" s="276"/>
      <c r="I97" s="1"/>
      <c r="J97" s="277"/>
      <c r="L97" s="375">
        <v>97</v>
      </c>
    </row>
    <row r="98" spans="1:12" s="278" customFormat="1" ht="20.25" customHeight="1" x14ac:dyDescent="0.2">
      <c r="A98" s="1"/>
      <c r="B98" s="256">
        <f>COUNTA($D$63:D98)</f>
        <v>36</v>
      </c>
      <c r="C98" s="284" t="s">
        <v>482</v>
      </c>
      <c r="D98" s="285">
        <v>0.6</v>
      </c>
      <c r="E98" s="274"/>
      <c r="F98" s="275"/>
      <c r="G98" s="276"/>
      <c r="H98" s="276"/>
      <c r="I98" s="1"/>
      <c r="J98" s="277"/>
      <c r="L98" s="376">
        <v>98</v>
      </c>
    </row>
    <row r="99" spans="1:12" s="278" customFormat="1" ht="20.25" customHeight="1" x14ac:dyDescent="0.2">
      <c r="A99" s="1"/>
      <c r="B99" s="256">
        <f>COUNTA($D$63:D99)</f>
        <v>37</v>
      </c>
      <c r="C99" s="287" t="s">
        <v>244</v>
      </c>
      <c r="D99" s="288">
        <v>0.4</v>
      </c>
      <c r="E99" s="274"/>
      <c r="F99" s="275"/>
      <c r="G99" s="276"/>
      <c r="H99" s="276"/>
      <c r="I99" s="1"/>
      <c r="J99" s="277"/>
      <c r="L99" s="375">
        <v>99</v>
      </c>
    </row>
    <row r="100" spans="1:12" s="278" customFormat="1" ht="20.25" customHeight="1" x14ac:dyDescent="0.2">
      <c r="A100" s="1"/>
      <c r="B100" s="256">
        <f>COUNTA($D$63:D100)</f>
        <v>38</v>
      </c>
      <c r="C100" s="287" t="s">
        <v>394</v>
      </c>
      <c r="D100" s="288">
        <v>0.4</v>
      </c>
      <c r="E100" s="274"/>
      <c r="F100" s="275"/>
      <c r="G100" s="276"/>
      <c r="H100" s="276"/>
      <c r="I100" s="1"/>
      <c r="J100" s="277"/>
      <c r="L100" s="376">
        <v>100</v>
      </c>
    </row>
    <row r="101" spans="1:12" s="278" customFormat="1" ht="20.25" customHeight="1" x14ac:dyDescent="0.2">
      <c r="A101" s="1"/>
      <c r="B101" s="256">
        <f>COUNTA($D$63:D101)</f>
        <v>39</v>
      </c>
      <c r="C101" s="287" t="s">
        <v>250</v>
      </c>
      <c r="D101" s="288">
        <v>0.4</v>
      </c>
      <c r="E101" s="274"/>
      <c r="F101" s="275"/>
      <c r="G101" s="276"/>
      <c r="H101" s="276"/>
      <c r="I101" s="1"/>
      <c r="J101" s="277"/>
      <c r="L101" s="375">
        <v>101</v>
      </c>
    </row>
    <row r="102" spans="1:12" s="278" customFormat="1" ht="20.25" customHeight="1" x14ac:dyDescent="0.2">
      <c r="A102" s="1"/>
      <c r="B102" s="256">
        <f>COUNTA($D$63:D102)</f>
        <v>40</v>
      </c>
      <c r="C102" s="287" t="s">
        <v>483</v>
      </c>
      <c r="D102" s="288">
        <v>0.4</v>
      </c>
      <c r="E102" s="274"/>
      <c r="F102" s="275"/>
      <c r="G102" s="276"/>
      <c r="H102" s="276"/>
      <c r="I102" s="1"/>
      <c r="J102" s="277"/>
      <c r="L102" s="376">
        <v>102</v>
      </c>
    </row>
    <row r="103" spans="1:12" s="278" customFormat="1" ht="20.25" customHeight="1" x14ac:dyDescent="0.2">
      <c r="A103" s="1"/>
      <c r="B103" s="256">
        <f>COUNTA($D$63:D103)</f>
        <v>41</v>
      </c>
      <c r="C103" s="287" t="s">
        <v>484</v>
      </c>
      <c r="D103" s="288">
        <v>0.4</v>
      </c>
      <c r="E103" s="274"/>
      <c r="F103" s="275"/>
      <c r="G103" s="276"/>
      <c r="H103" s="276"/>
      <c r="I103" s="1"/>
      <c r="J103" s="277"/>
      <c r="L103" s="375">
        <v>103</v>
      </c>
    </row>
    <row r="104" spans="1:12" s="278" customFormat="1" ht="20.25" customHeight="1" x14ac:dyDescent="0.2">
      <c r="A104" s="1"/>
      <c r="B104" s="256">
        <f>COUNTA($D$63:D104)</f>
        <v>42</v>
      </c>
      <c r="C104" s="287" t="s">
        <v>484</v>
      </c>
      <c r="D104" s="288">
        <v>0.4</v>
      </c>
      <c r="E104" s="274"/>
      <c r="F104" s="275"/>
      <c r="G104" s="276"/>
      <c r="H104" s="276"/>
      <c r="I104" s="1"/>
      <c r="J104" s="277"/>
      <c r="L104" s="376">
        <v>104</v>
      </c>
    </row>
    <row r="105" spans="1:12" s="278" customFormat="1" ht="20.25" customHeight="1" x14ac:dyDescent="0.2">
      <c r="A105" s="1"/>
      <c r="B105" s="256">
        <f>COUNTA($D$63:D105)</f>
        <v>43</v>
      </c>
      <c r="C105" s="287" t="s">
        <v>485</v>
      </c>
      <c r="D105" s="288">
        <v>0.4</v>
      </c>
      <c r="E105" s="274"/>
      <c r="F105" s="275"/>
      <c r="G105" s="276"/>
      <c r="H105" s="276"/>
      <c r="I105" s="1"/>
      <c r="J105" s="277"/>
      <c r="L105" s="375">
        <v>105</v>
      </c>
    </row>
    <row r="106" spans="1:12" s="278" customFormat="1" ht="20.25" customHeight="1" x14ac:dyDescent="0.2">
      <c r="A106" s="1"/>
      <c r="B106" s="256">
        <f>COUNTA($D$63:D106)</f>
        <v>44</v>
      </c>
      <c r="C106" s="287" t="s">
        <v>393</v>
      </c>
      <c r="D106" s="288">
        <v>0.4</v>
      </c>
      <c r="E106" s="274"/>
      <c r="F106" s="275"/>
      <c r="G106" s="276"/>
      <c r="H106" s="276"/>
      <c r="I106" s="1"/>
      <c r="J106" s="277"/>
      <c r="L106" s="376">
        <v>106</v>
      </c>
    </row>
    <row r="107" spans="1:12" s="278" customFormat="1" ht="20.25" customHeight="1" x14ac:dyDescent="0.2">
      <c r="A107" s="1"/>
      <c r="B107" s="256">
        <f>COUNTA($D$63:D107)</f>
        <v>45</v>
      </c>
      <c r="C107" s="289" t="s">
        <v>486</v>
      </c>
      <c r="D107" s="288">
        <v>0.4</v>
      </c>
      <c r="E107" s="274"/>
      <c r="F107" s="275"/>
      <c r="G107" s="276"/>
      <c r="H107" s="276"/>
      <c r="I107" s="1"/>
      <c r="J107" s="277"/>
      <c r="L107" s="375">
        <v>107</v>
      </c>
    </row>
    <row r="108" spans="1:12" s="278" customFormat="1" ht="20.25" customHeight="1" x14ac:dyDescent="0.2">
      <c r="A108" s="1"/>
      <c r="B108" s="256">
        <f>COUNTA($D$63:D108)</f>
        <v>46</v>
      </c>
      <c r="C108" s="289" t="s">
        <v>487</v>
      </c>
      <c r="D108" s="288">
        <v>0.4</v>
      </c>
      <c r="E108" s="274"/>
      <c r="F108" s="275"/>
      <c r="G108" s="276"/>
      <c r="H108" s="276"/>
      <c r="I108" s="1"/>
      <c r="J108" s="277"/>
      <c r="L108" s="376">
        <v>108</v>
      </c>
    </row>
    <row r="109" spans="1:12" s="278" customFormat="1" ht="20.25" customHeight="1" x14ac:dyDescent="0.2">
      <c r="A109" s="1"/>
      <c r="B109" s="256">
        <f>COUNTA($D$63:D109)</f>
        <v>46</v>
      </c>
      <c r="C109" s="290"/>
      <c r="D109" s="291"/>
      <c r="E109" s="274"/>
      <c r="F109" s="275"/>
      <c r="G109" s="276"/>
      <c r="H109" s="276"/>
      <c r="I109" s="1"/>
      <c r="J109" s="277"/>
      <c r="L109" s="375">
        <v>109</v>
      </c>
    </row>
    <row r="110" spans="1:12" s="278" customFormat="1" ht="20.25" customHeight="1" x14ac:dyDescent="0.2">
      <c r="A110" s="1"/>
      <c r="B110" s="256">
        <f>COUNTA($D$63:D110)</f>
        <v>46</v>
      </c>
      <c r="C110" s="290"/>
      <c r="D110" s="291"/>
      <c r="E110" s="274"/>
      <c r="F110" s="275"/>
      <c r="G110" s="276"/>
      <c r="H110" s="276"/>
      <c r="I110" s="1"/>
      <c r="J110" s="277"/>
      <c r="L110" s="376">
        <v>110</v>
      </c>
    </row>
    <row r="111" spans="1:12" s="3" customFormat="1" ht="20.25" customHeight="1" x14ac:dyDescent="0.2">
      <c r="A111" s="1"/>
      <c r="B111" s="292"/>
      <c r="C111" s="18"/>
      <c r="D111" s="19"/>
      <c r="E111" s="24"/>
      <c r="F111" s="24"/>
      <c r="G111" s="1"/>
      <c r="H111" s="1"/>
      <c r="I111" s="1"/>
      <c r="J111" s="5"/>
      <c r="L111" s="375">
        <v>111</v>
      </c>
    </row>
    <row r="112" spans="1:12" s="3" customFormat="1" ht="11.25" customHeight="1" x14ac:dyDescent="0.2">
      <c r="B112" s="293"/>
      <c r="D112" s="21"/>
      <c r="E112" s="25"/>
      <c r="F112" s="25"/>
      <c r="G112" s="12"/>
      <c r="J112" s="5"/>
      <c r="L112" s="376">
        <v>112</v>
      </c>
    </row>
    <row r="113" spans="1:12" s="3" customFormat="1" ht="11.25" customHeight="1" x14ac:dyDescent="0.2">
      <c r="B113" s="293"/>
      <c r="D113" s="21"/>
      <c r="E113" s="25"/>
      <c r="F113" s="25"/>
      <c r="G113" s="12"/>
      <c r="J113" s="5"/>
      <c r="L113" s="375">
        <v>113</v>
      </c>
    </row>
    <row r="114" spans="1:12" s="3" customFormat="1" ht="11.25" customHeight="1" x14ac:dyDescent="0.2">
      <c r="B114" s="293"/>
      <c r="D114" s="21"/>
      <c r="E114" s="25"/>
      <c r="F114" s="25"/>
      <c r="G114" s="12"/>
      <c r="J114" s="5"/>
      <c r="L114" s="376">
        <v>114</v>
      </c>
    </row>
    <row r="115" spans="1:12" s="3" customFormat="1" ht="11.25" customHeight="1" x14ac:dyDescent="0.2">
      <c r="B115" s="293"/>
      <c r="D115" s="21"/>
      <c r="E115" s="25"/>
      <c r="F115" s="25"/>
      <c r="G115" s="12"/>
      <c r="J115" s="5"/>
      <c r="L115" s="375">
        <v>115</v>
      </c>
    </row>
    <row r="116" spans="1:12" s="349" customFormat="1" ht="20.25" customHeight="1" x14ac:dyDescent="0.2">
      <c r="B116" s="350">
        <f>COUNTA($D$2:D116)</f>
        <v>107</v>
      </c>
      <c r="C116" s="351" t="s">
        <v>495</v>
      </c>
      <c r="D116" s="352" t="s">
        <v>169</v>
      </c>
      <c r="E116" s="353">
        <v>6.2</v>
      </c>
      <c r="F116" s="354">
        <v>0.36</v>
      </c>
      <c r="G116" s="355" t="str">
        <f t="shared" ref="G116:G123" si="2">IF(F116=0.36,"A3",IF(F116=0.34,"A2",IF(F116=0.33,"A1",IF(F116=0.31,"A0",IF(F116=0.2,"B",IF(F116=0.18,"C"))))))</f>
        <v>A3</v>
      </c>
      <c r="H116" s="355" t="str">
        <f t="shared" ref="H116:H123" si="3">IF(AND(G116="A3",E116=6.2),"A3.1",IF(AND(G116="A3",E116=5.75),"A3.2",IF(AND(G116="A2",E116=4.4),"A2.1",IF(AND(G116="A2",E116=4),"A2.2",IF(G116="C","Nhân viên","- - -")))))</f>
        <v>A3.1</v>
      </c>
      <c r="J116" s="356"/>
      <c r="L116" s="376">
        <v>116</v>
      </c>
    </row>
    <row r="117" spans="1:12" s="349" customFormat="1" ht="20.25" customHeight="1" x14ac:dyDescent="0.2">
      <c r="B117" s="350">
        <f>COUNTA($D$2:D117)</f>
        <v>108</v>
      </c>
      <c r="C117" s="351" t="s">
        <v>494</v>
      </c>
      <c r="D117" s="352" t="s">
        <v>226</v>
      </c>
      <c r="E117" s="353">
        <v>4.4000000000000004</v>
      </c>
      <c r="F117" s="354">
        <v>0.34</v>
      </c>
      <c r="G117" s="355" t="str">
        <f t="shared" si="2"/>
        <v>A2</v>
      </c>
      <c r="H117" s="355" t="str">
        <f t="shared" si="3"/>
        <v>A2.1</v>
      </c>
      <c r="J117" s="356"/>
      <c r="L117" s="375">
        <v>117</v>
      </c>
    </row>
    <row r="118" spans="1:12" s="349" customFormat="1" ht="20.25" customHeight="1" x14ac:dyDescent="0.2">
      <c r="B118" s="350">
        <f>COUNTA($D$2:D118)</f>
        <v>109</v>
      </c>
      <c r="C118" s="351" t="s">
        <v>493</v>
      </c>
      <c r="D118" s="352" t="s">
        <v>170</v>
      </c>
      <c r="E118" s="353">
        <v>2.34</v>
      </c>
      <c r="F118" s="354">
        <v>0.33</v>
      </c>
      <c r="G118" s="355" t="str">
        <f t="shared" si="2"/>
        <v>A1</v>
      </c>
      <c r="H118" s="355" t="str">
        <f t="shared" si="3"/>
        <v>- - -</v>
      </c>
      <c r="J118" s="356"/>
      <c r="L118" s="376">
        <v>118</v>
      </c>
    </row>
    <row r="119" spans="1:12" s="349" customFormat="1" ht="20.25" customHeight="1" x14ac:dyDescent="0.2">
      <c r="B119" s="350">
        <f>COUNTA($D$2:D119)</f>
        <v>110</v>
      </c>
      <c r="C119" s="351" t="s">
        <v>492</v>
      </c>
      <c r="D119" s="352" t="s">
        <v>171</v>
      </c>
      <c r="E119" s="353">
        <v>1.86</v>
      </c>
      <c r="F119" s="354">
        <v>0.2</v>
      </c>
      <c r="G119" s="355" t="str">
        <f t="shared" si="2"/>
        <v>B</v>
      </c>
      <c r="H119" s="355" t="str">
        <f t="shared" si="3"/>
        <v>- - -</v>
      </c>
      <c r="J119" s="356"/>
      <c r="L119" s="375">
        <v>119</v>
      </c>
    </row>
    <row r="120" spans="1:12" s="365" customFormat="1" ht="20.25" customHeight="1" x14ac:dyDescent="0.2">
      <c r="A120" s="357"/>
      <c r="B120" s="358">
        <f>COUNTA($D$2:D120)</f>
        <v>111</v>
      </c>
      <c r="C120" s="359" t="s">
        <v>172</v>
      </c>
      <c r="D120" s="360" t="s">
        <v>173</v>
      </c>
      <c r="E120" s="361">
        <v>6.2</v>
      </c>
      <c r="F120" s="362">
        <v>0.36</v>
      </c>
      <c r="G120" s="363" t="str">
        <f t="shared" si="2"/>
        <v>A3</v>
      </c>
      <c r="H120" s="363" t="str">
        <f t="shared" si="3"/>
        <v>A3.1</v>
      </c>
      <c r="I120" s="357"/>
      <c r="J120" s="364"/>
      <c r="L120" s="376">
        <v>120</v>
      </c>
    </row>
    <row r="121" spans="1:12" s="349" customFormat="1" ht="20.25" customHeight="1" x14ac:dyDescent="0.2">
      <c r="B121" s="350">
        <f>COUNTA($D$2:D121)</f>
        <v>112</v>
      </c>
      <c r="C121" s="351" t="s">
        <v>2</v>
      </c>
      <c r="D121" s="352" t="s">
        <v>175</v>
      </c>
      <c r="E121" s="353">
        <v>2.34</v>
      </c>
      <c r="F121" s="354">
        <v>0.33</v>
      </c>
      <c r="G121" s="355" t="str">
        <f t="shared" si="2"/>
        <v>A1</v>
      </c>
      <c r="H121" s="355" t="str">
        <f t="shared" si="3"/>
        <v>- - -</v>
      </c>
      <c r="J121" s="356"/>
      <c r="L121" s="375">
        <v>121</v>
      </c>
    </row>
    <row r="122" spans="1:12" s="366" customFormat="1" ht="20.25" customHeight="1" x14ac:dyDescent="0.2">
      <c r="B122" s="367">
        <f>COUNTA($D$2:D122)</f>
        <v>113</v>
      </c>
      <c r="C122" s="368" t="s">
        <v>48</v>
      </c>
      <c r="D122" s="369" t="s">
        <v>51</v>
      </c>
      <c r="E122" s="370">
        <v>6.2</v>
      </c>
      <c r="F122" s="371">
        <v>0.36</v>
      </c>
      <c r="G122" s="372" t="str">
        <f t="shared" si="2"/>
        <v>A3</v>
      </c>
      <c r="H122" s="372" t="str">
        <f t="shared" si="3"/>
        <v>A3.1</v>
      </c>
      <c r="J122" s="373"/>
      <c r="L122" s="376">
        <v>122</v>
      </c>
    </row>
    <row r="123" spans="1:12" s="366" customFormat="1" ht="20.25" customHeight="1" x14ac:dyDescent="0.2">
      <c r="B123" s="367">
        <f>COUNTA($D$2:D123)</f>
        <v>114</v>
      </c>
      <c r="C123" s="368" t="s">
        <v>49</v>
      </c>
      <c r="D123" s="369" t="s">
        <v>52</v>
      </c>
      <c r="E123" s="370">
        <v>2.34</v>
      </c>
      <c r="F123" s="371">
        <v>0.33</v>
      </c>
      <c r="G123" s="372" t="str">
        <f t="shared" si="2"/>
        <v>A1</v>
      </c>
      <c r="H123" s="372" t="str">
        <f t="shared" si="3"/>
        <v>- - -</v>
      </c>
      <c r="J123" s="373"/>
      <c r="L123" s="375">
        <v>123</v>
      </c>
    </row>
    <row r="124" spans="1:12" s="3" customFormat="1" ht="11.25" customHeight="1" x14ac:dyDescent="0.2">
      <c r="B124" s="293"/>
      <c r="D124" s="21"/>
      <c r="E124" s="25"/>
      <c r="F124" s="25"/>
      <c r="G124" s="12"/>
      <c r="J124" s="5"/>
      <c r="L124" s="376"/>
    </row>
    <row r="125" spans="1:12" s="349" customFormat="1" ht="20.25" customHeight="1" x14ac:dyDescent="0.2">
      <c r="B125" s="350">
        <f>COUNTA($D$2:D125)</f>
        <v>115</v>
      </c>
      <c r="C125" s="351" t="s">
        <v>9</v>
      </c>
      <c r="D125" s="352" t="s">
        <v>165</v>
      </c>
      <c r="E125" s="353">
        <v>4</v>
      </c>
      <c r="F125" s="354">
        <v>0.34</v>
      </c>
      <c r="G125" s="355" t="str">
        <f>IF(F125=0.36,"A3",IF(F125=0.34,"A2",IF(F125=0.33,"A1",IF(F125=0.31,"A0",IF(F125=0.2,"B",IF(F125=0.18,"C"))))))</f>
        <v>A2</v>
      </c>
      <c r="H125" s="355" t="str">
        <f>IF(AND(G125="A3",E125=6.2),"A3.1",IF(AND(G125="A3",E125=5.75),"A3.2",IF(AND(G125="A2",E125=4.4),"A2.1",IF(AND(G125="A2",E125=4),"A2.2",IF(G125="C","Nhân viên","- - -")))))</f>
        <v>A2.2</v>
      </c>
      <c r="J125" s="356"/>
      <c r="L125" s="378">
        <v>25</v>
      </c>
    </row>
    <row r="126" spans="1:12" s="349" customFormat="1" ht="20.25" customHeight="1" x14ac:dyDescent="0.2">
      <c r="B126" s="350">
        <f>COUNTA($D$2:D126)</f>
        <v>116</v>
      </c>
      <c r="C126" s="351" t="s">
        <v>369</v>
      </c>
      <c r="D126" s="352" t="s">
        <v>166</v>
      </c>
      <c r="E126" s="353">
        <v>2.34</v>
      </c>
      <c r="F126" s="354">
        <v>0.33</v>
      </c>
      <c r="G126" s="355" t="str">
        <f>IF(F126=0.36,"A3",IF(F126=0.34,"A2",IF(F126=0.33,"A1",IF(F126=0.31,"A0",IF(F126=0.2,"B",IF(F126=0.18,"C"))))))</f>
        <v>A1</v>
      </c>
      <c r="H126" s="355" t="str">
        <f>IF(AND(G126="A3",E126=6.2),"A3.1",IF(AND(G126="A3",E126=5.75),"A3.2",IF(AND(G126="A2",E126=4.4),"A2.1",IF(AND(G126="A2",E126=4),"A2.2",IF(G126="C","Nhân viên","- - -")))))</f>
        <v>- - -</v>
      </c>
      <c r="J126" s="356"/>
      <c r="L126" s="379">
        <v>26</v>
      </c>
    </row>
    <row r="127" spans="1:12" s="349" customFormat="1" ht="20.25" customHeight="1" x14ac:dyDescent="0.2">
      <c r="B127" s="350">
        <f>COUNTA($D$2:D127)</f>
        <v>117</v>
      </c>
      <c r="C127" s="351" t="s">
        <v>53</v>
      </c>
      <c r="D127" s="352" t="s">
        <v>168</v>
      </c>
      <c r="E127" s="353">
        <v>1.86</v>
      </c>
      <c r="F127" s="354">
        <v>0.2</v>
      </c>
      <c r="G127" s="355" t="str">
        <f>IF(F127=0.36,"A3",IF(F127=0.34,"A2",IF(F127=0.33,"A1",IF(F127=0.31,"A0",IF(F127=0.2,"B",IF(F127=0.18,"C"))))))</f>
        <v>B</v>
      </c>
      <c r="H127" s="355" t="str">
        <f>IF(AND(G127="A3",E127=6.2),"A3.1",IF(AND(G127="A3",E127=5.75),"A3.2",IF(AND(G127="A2",E127=4.4),"A2.1",IF(AND(G127="A2",E127=4),"A2.2",IF(G127="C","Nhân viên","- - -")))))</f>
        <v>- - -</v>
      </c>
      <c r="J127" s="356"/>
      <c r="L127" s="379">
        <v>28</v>
      </c>
    </row>
    <row r="128" spans="1:12" s="3" customFormat="1" ht="11.25" customHeight="1" x14ac:dyDescent="0.2">
      <c r="B128" s="293"/>
      <c r="D128" s="21"/>
      <c r="E128" s="25"/>
      <c r="F128" s="25"/>
      <c r="G128" s="12"/>
      <c r="J128" s="5"/>
      <c r="L128" s="376"/>
    </row>
    <row r="129" spans="2:12" s="3" customFormat="1" ht="11.25" customHeight="1" x14ac:dyDescent="0.2">
      <c r="B129" s="293"/>
      <c r="D129" s="21"/>
      <c r="E129" s="25"/>
      <c r="F129" s="25"/>
      <c r="G129" s="12"/>
      <c r="J129" s="5"/>
      <c r="L129" s="376"/>
    </row>
    <row r="130" spans="2:12" s="3" customFormat="1" ht="11.25" customHeight="1" x14ac:dyDescent="0.2">
      <c r="B130" s="293"/>
      <c r="D130" s="21"/>
      <c r="E130" s="25"/>
      <c r="F130" s="25"/>
      <c r="G130" s="12"/>
      <c r="J130" s="5"/>
      <c r="L130" s="376"/>
    </row>
    <row r="131" spans="2:12" s="3" customFormat="1" ht="11.25" customHeight="1" x14ac:dyDescent="0.2">
      <c r="B131" s="293"/>
      <c r="D131" s="21"/>
      <c r="E131" s="25"/>
      <c r="F131" s="25"/>
      <c r="G131" s="12"/>
      <c r="J131" s="5"/>
      <c r="L131" s="376"/>
    </row>
    <row r="132" spans="2:12" s="3" customFormat="1" ht="11.25" customHeight="1" x14ac:dyDescent="0.2">
      <c r="B132" s="293"/>
      <c r="D132" s="21"/>
      <c r="E132" s="25"/>
      <c r="F132" s="25"/>
      <c r="G132" s="12"/>
      <c r="J132" s="5"/>
      <c r="L132" s="376"/>
    </row>
    <row r="133" spans="2:12" s="3" customFormat="1" ht="11.25" customHeight="1" x14ac:dyDescent="0.2">
      <c r="B133" s="293"/>
      <c r="D133" s="21"/>
      <c r="E133" s="25"/>
      <c r="F133" s="25"/>
      <c r="G133" s="12"/>
      <c r="J133" s="5"/>
      <c r="L133" s="376"/>
    </row>
    <row r="134" spans="2:12" s="3" customFormat="1" ht="11.25" customHeight="1" x14ac:dyDescent="0.2">
      <c r="B134" s="293"/>
      <c r="D134" s="21"/>
      <c r="E134" s="25"/>
      <c r="F134" s="25"/>
      <c r="G134" s="12"/>
      <c r="J134" s="5"/>
      <c r="L134" s="376"/>
    </row>
    <row r="135" spans="2:12" s="3" customFormat="1" ht="11.25" customHeight="1" x14ac:dyDescent="0.2">
      <c r="B135" s="293"/>
      <c r="D135" s="21"/>
      <c r="E135" s="25"/>
      <c r="F135" s="25"/>
      <c r="G135" s="12"/>
      <c r="J135" s="5"/>
      <c r="L135" s="376"/>
    </row>
    <row r="136" spans="2:12" s="3" customFormat="1" ht="11.25" customHeight="1" x14ac:dyDescent="0.2">
      <c r="B136" s="293"/>
      <c r="D136" s="21"/>
      <c r="E136" s="25"/>
      <c r="F136" s="25"/>
      <c r="G136" s="12"/>
      <c r="J136" s="5"/>
      <c r="L136" s="376"/>
    </row>
    <row r="137" spans="2:12" s="3" customFormat="1" ht="11.25" customHeight="1" x14ac:dyDescent="0.2">
      <c r="B137" s="293"/>
      <c r="D137" s="21"/>
      <c r="E137" s="25"/>
      <c r="F137" s="25"/>
      <c r="G137" s="12"/>
      <c r="J137" s="5"/>
      <c r="L137" s="376"/>
    </row>
    <row r="138" spans="2:12" s="3" customFormat="1" ht="11.25" customHeight="1" x14ac:dyDescent="0.2">
      <c r="B138" s="293"/>
      <c r="D138" s="21"/>
      <c r="E138" s="25"/>
      <c r="F138" s="25"/>
      <c r="G138" s="12"/>
      <c r="J138" s="5"/>
      <c r="L138" s="376"/>
    </row>
    <row r="139" spans="2:12" s="3" customFormat="1" ht="11.25" customHeight="1" x14ac:dyDescent="0.2">
      <c r="B139" s="293"/>
      <c r="D139" s="21"/>
      <c r="E139" s="25"/>
      <c r="F139" s="25"/>
      <c r="G139" s="12"/>
      <c r="J139" s="5"/>
      <c r="L139" s="376"/>
    </row>
    <row r="140" spans="2:12" s="3" customFormat="1" ht="11.25" customHeight="1" x14ac:dyDescent="0.2">
      <c r="B140" s="293"/>
      <c r="D140" s="21"/>
      <c r="E140" s="25"/>
      <c r="F140" s="25"/>
      <c r="G140" s="12"/>
      <c r="J140" s="5"/>
      <c r="L140" s="376"/>
    </row>
    <row r="141" spans="2:12" s="3" customFormat="1" ht="11.25" customHeight="1" x14ac:dyDescent="0.2">
      <c r="B141" s="293"/>
      <c r="D141" s="21"/>
      <c r="E141" s="25"/>
      <c r="F141" s="25"/>
      <c r="G141" s="12"/>
      <c r="J141" s="5"/>
      <c r="L141" s="376"/>
    </row>
    <row r="142" spans="2:12" s="3" customFormat="1" ht="11.25" customHeight="1" x14ac:dyDescent="0.2">
      <c r="B142" s="293"/>
      <c r="D142" s="21"/>
      <c r="E142" s="25"/>
      <c r="F142" s="25"/>
      <c r="G142" s="12"/>
      <c r="J142" s="5"/>
      <c r="L142" s="376"/>
    </row>
    <row r="143" spans="2:12" s="3" customFormat="1" ht="11.25" customHeight="1" x14ac:dyDescent="0.2">
      <c r="B143" s="293"/>
      <c r="D143" s="21"/>
      <c r="E143" s="25"/>
      <c r="F143" s="25"/>
      <c r="G143" s="12"/>
      <c r="J143" s="5"/>
      <c r="L143" s="376"/>
    </row>
    <row r="144" spans="2:12" s="3" customFormat="1" ht="11.25" customHeight="1" x14ac:dyDescent="0.2">
      <c r="B144" s="293"/>
      <c r="D144" s="21"/>
      <c r="E144" s="25"/>
      <c r="F144" s="25"/>
      <c r="G144" s="12"/>
      <c r="J144" s="5"/>
      <c r="L144" s="376"/>
    </row>
    <row r="145" spans="2:12" s="3" customFormat="1" ht="11.25" customHeight="1" x14ac:dyDescent="0.2">
      <c r="B145" s="293"/>
      <c r="D145" s="21"/>
      <c r="E145" s="25"/>
      <c r="F145" s="25"/>
      <c r="G145" s="12"/>
      <c r="J145" s="5"/>
      <c r="L145" s="376"/>
    </row>
    <row r="146" spans="2:12" s="3" customFormat="1" ht="11.25" customHeight="1" x14ac:dyDescent="0.2">
      <c r="B146" s="293"/>
      <c r="D146" s="21"/>
      <c r="E146" s="25"/>
      <c r="F146" s="25"/>
      <c r="G146" s="12"/>
      <c r="J146" s="5"/>
      <c r="L146" s="376"/>
    </row>
    <row r="147" spans="2:12" s="3" customFormat="1" ht="11.25" customHeight="1" x14ac:dyDescent="0.2">
      <c r="B147" s="293"/>
      <c r="D147" s="21"/>
      <c r="E147" s="25"/>
      <c r="F147" s="25"/>
      <c r="G147" s="12"/>
      <c r="J147" s="5"/>
      <c r="L147" s="376"/>
    </row>
    <row r="148" spans="2:12" s="3" customFormat="1" ht="11.25" customHeight="1" x14ac:dyDescent="0.2">
      <c r="B148" s="293"/>
      <c r="D148" s="21"/>
      <c r="E148" s="25"/>
      <c r="F148" s="25"/>
      <c r="G148" s="12"/>
      <c r="J148" s="5"/>
      <c r="L148" s="376"/>
    </row>
    <row r="149" spans="2:12" s="3" customFormat="1" ht="11.25" customHeight="1" x14ac:dyDescent="0.2">
      <c r="B149" s="293"/>
      <c r="D149" s="21"/>
      <c r="E149" s="25"/>
      <c r="F149" s="25"/>
      <c r="G149" s="12"/>
      <c r="J149" s="5"/>
      <c r="L149" s="376"/>
    </row>
    <row r="150" spans="2:12" s="3" customFormat="1" ht="11.25" customHeight="1" x14ac:dyDescent="0.2">
      <c r="B150" s="293"/>
      <c r="D150" s="21"/>
      <c r="E150" s="25"/>
      <c r="F150" s="25"/>
      <c r="G150" s="12"/>
      <c r="J150" s="5"/>
      <c r="L150" s="376"/>
    </row>
    <row r="151" spans="2:12" s="3" customFormat="1" ht="11.25" customHeight="1" x14ac:dyDescent="0.2">
      <c r="B151" s="293"/>
      <c r="D151" s="21"/>
      <c r="E151" s="25"/>
      <c r="F151" s="25"/>
      <c r="G151" s="12"/>
      <c r="J151" s="5"/>
      <c r="L151" s="376"/>
    </row>
    <row r="152" spans="2:12" s="3" customFormat="1" ht="11.25" customHeight="1" x14ac:dyDescent="0.2">
      <c r="B152" s="293"/>
      <c r="D152" s="21"/>
      <c r="E152" s="25"/>
      <c r="F152" s="25"/>
      <c r="G152" s="12"/>
      <c r="J152" s="5"/>
      <c r="L152" s="376"/>
    </row>
    <row r="153" spans="2:12" s="3" customFormat="1" ht="11.25" customHeight="1" x14ac:dyDescent="0.2">
      <c r="B153" s="293"/>
      <c r="D153" s="21"/>
      <c r="E153" s="25"/>
      <c r="F153" s="25"/>
      <c r="G153" s="12"/>
      <c r="J153" s="5"/>
      <c r="L153" s="376"/>
    </row>
    <row r="154" spans="2:12" s="3" customFormat="1" ht="11.25" customHeight="1" x14ac:dyDescent="0.2">
      <c r="B154" s="293"/>
      <c r="D154" s="21"/>
      <c r="E154" s="25"/>
      <c r="F154" s="25"/>
      <c r="G154" s="12"/>
      <c r="J154" s="5"/>
      <c r="L154" s="376"/>
    </row>
    <row r="155" spans="2:12" s="3" customFormat="1" ht="11.25" customHeight="1" x14ac:dyDescent="0.2">
      <c r="B155" s="293"/>
      <c r="D155" s="21"/>
      <c r="E155" s="25"/>
      <c r="F155" s="25"/>
      <c r="G155" s="12"/>
      <c r="J155" s="5"/>
      <c r="L155" s="376"/>
    </row>
    <row r="156" spans="2:12" s="3" customFormat="1" ht="11.25" customHeight="1" x14ac:dyDescent="0.2">
      <c r="B156" s="293"/>
      <c r="D156" s="21"/>
      <c r="E156" s="25"/>
      <c r="F156" s="25"/>
      <c r="G156" s="12"/>
      <c r="J156" s="5"/>
      <c r="L156" s="376"/>
    </row>
    <row r="157" spans="2:12" s="3" customFormat="1" ht="11.25" customHeight="1" x14ac:dyDescent="0.2">
      <c r="B157" s="293"/>
      <c r="D157" s="21"/>
      <c r="E157" s="25"/>
      <c r="F157" s="25"/>
      <c r="G157" s="12"/>
      <c r="J157" s="5"/>
      <c r="L157" s="376"/>
    </row>
    <row r="158" spans="2:12" s="3" customFormat="1" ht="11.25" customHeight="1" x14ac:dyDescent="0.2">
      <c r="B158" s="293"/>
      <c r="D158" s="21"/>
      <c r="E158" s="25"/>
      <c r="F158" s="25"/>
      <c r="G158" s="12"/>
      <c r="J158" s="5"/>
      <c r="L158" s="376"/>
    </row>
    <row r="159" spans="2:12" s="3" customFormat="1" ht="11.25" customHeight="1" x14ac:dyDescent="0.2">
      <c r="B159" s="293"/>
      <c r="D159" s="21"/>
      <c r="E159" s="25"/>
      <c r="F159" s="25"/>
      <c r="G159" s="12"/>
      <c r="J159" s="5"/>
      <c r="L159" s="376"/>
    </row>
    <row r="160" spans="2:12" s="3" customFormat="1" ht="11.25" customHeight="1" x14ac:dyDescent="0.2">
      <c r="B160" s="293"/>
      <c r="D160" s="21"/>
      <c r="E160" s="25"/>
      <c r="F160" s="25"/>
      <c r="G160" s="12"/>
      <c r="J160" s="5"/>
      <c r="L160" s="376"/>
    </row>
    <row r="161" spans="2:12" s="3" customFormat="1" ht="11.25" customHeight="1" x14ac:dyDescent="0.2">
      <c r="B161" s="293"/>
      <c r="D161" s="21"/>
      <c r="E161" s="25"/>
      <c r="F161" s="25"/>
      <c r="G161" s="12"/>
      <c r="J161" s="5"/>
      <c r="L161" s="376"/>
    </row>
    <row r="162" spans="2:12" s="3" customFormat="1" ht="11.25" customHeight="1" x14ac:dyDescent="0.2">
      <c r="B162" s="293"/>
      <c r="D162" s="21"/>
      <c r="E162" s="25"/>
      <c r="F162" s="25"/>
      <c r="G162" s="12"/>
      <c r="J162" s="5"/>
      <c r="L162" s="376"/>
    </row>
    <row r="163" spans="2:12" s="3" customFormat="1" ht="11.25" customHeight="1" x14ac:dyDescent="0.2">
      <c r="B163" s="293"/>
      <c r="D163" s="21"/>
      <c r="E163" s="25"/>
      <c r="F163" s="25"/>
      <c r="G163" s="12"/>
      <c r="J163" s="5"/>
      <c r="L163" s="376"/>
    </row>
    <row r="164" spans="2:12" s="3" customFormat="1" ht="11.25" customHeight="1" x14ac:dyDescent="0.2">
      <c r="B164" s="293"/>
      <c r="D164" s="21"/>
      <c r="E164" s="25"/>
      <c r="F164" s="25"/>
      <c r="G164" s="12"/>
      <c r="J164" s="5"/>
      <c r="L164" s="376"/>
    </row>
    <row r="165" spans="2:12" s="3" customFormat="1" ht="11.25" customHeight="1" x14ac:dyDescent="0.2">
      <c r="B165" s="293"/>
      <c r="D165" s="21"/>
      <c r="E165" s="25"/>
      <c r="F165" s="25"/>
      <c r="G165" s="12"/>
      <c r="J165" s="5"/>
      <c r="L165" s="376"/>
    </row>
    <row r="166" spans="2:12" s="3" customFormat="1" ht="11.25" customHeight="1" x14ac:dyDescent="0.2">
      <c r="B166" s="293"/>
      <c r="D166" s="21"/>
      <c r="E166" s="25"/>
      <c r="F166" s="25"/>
      <c r="G166" s="12"/>
      <c r="J166" s="5"/>
      <c r="L166" s="376"/>
    </row>
    <row r="167" spans="2:12" s="3" customFormat="1" ht="11.25" customHeight="1" x14ac:dyDescent="0.2">
      <c r="B167" s="293"/>
      <c r="D167" s="21"/>
      <c r="E167" s="25"/>
      <c r="F167" s="25"/>
      <c r="G167" s="12"/>
      <c r="J167" s="5"/>
      <c r="L167" s="376"/>
    </row>
    <row r="168" spans="2:12" s="3" customFormat="1" ht="11.25" customHeight="1" x14ac:dyDescent="0.2">
      <c r="B168" s="293"/>
      <c r="D168" s="21"/>
      <c r="E168" s="25"/>
      <c r="F168" s="25"/>
      <c r="G168" s="12"/>
      <c r="J168" s="5"/>
      <c r="L168" s="376"/>
    </row>
    <row r="169" spans="2:12" s="3" customFormat="1" ht="11.25" customHeight="1" x14ac:dyDescent="0.2">
      <c r="B169" s="293"/>
      <c r="D169" s="21"/>
      <c r="E169" s="25"/>
      <c r="F169" s="25"/>
      <c r="G169" s="12"/>
      <c r="J169" s="5"/>
      <c r="L169" s="376"/>
    </row>
    <row r="170" spans="2:12" s="3" customFormat="1" ht="11.25" customHeight="1" x14ac:dyDescent="0.2">
      <c r="B170" s="293"/>
      <c r="D170" s="21"/>
      <c r="E170" s="25"/>
      <c r="F170" s="25"/>
      <c r="G170" s="12"/>
      <c r="J170" s="5"/>
      <c r="L170" s="376"/>
    </row>
    <row r="171" spans="2:12" s="3" customFormat="1" ht="11.25" customHeight="1" x14ac:dyDescent="0.2">
      <c r="B171" s="293"/>
      <c r="D171" s="21"/>
      <c r="E171" s="25"/>
      <c r="F171" s="25"/>
      <c r="G171" s="12"/>
      <c r="J171" s="5"/>
      <c r="L171" s="376"/>
    </row>
    <row r="172" spans="2:12" s="3" customFormat="1" ht="11.25" customHeight="1" x14ac:dyDescent="0.2">
      <c r="B172" s="293"/>
      <c r="D172" s="21"/>
      <c r="E172" s="25"/>
      <c r="F172" s="25"/>
      <c r="G172" s="12"/>
      <c r="J172" s="5"/>
      <c r="L172" s="376"/>
    </row>
    <row r="173" spans="2:12" s="3" customFormat="1" ht="11.25" customHeight="1" x14ac:dyDescent="0.2">
      <c r="B173" s="293"/>
      <c r="D173" s="21"/>
      <c r="E173" s="25"/>
      <c r="F173" s="25"/>
      <c r="G173" s="12"/>
      <c r="J173" s="5"/>
      <c r="L173" s="376"/>
    </row>
    <row r="174" spans="2:12" s="3" customFormat="1" ht="11.25" customHeight="1" x14ac:dyDescent="0.2">
      <c r="B174" s="293"/>
      <c r="D174" s="21"/>
      <c r="E174" s="25"/>
      <c r="F174" s="25"/>
      <c r="G174" s="12"/>
      <c r="J174" s="5"/>
      <c r="L174" s="376"/>
    </row>
    <row r="175" spans="2:12" s="3" customFormat="1" ht="11.25" customHeight="1" x14ac:dyDescent="0.2">
      <c r="B175" s="293"/>
      <c r="D175" s="21"/>
      <c r="E175" s="25"/>
      <c r="F175" s="25"/>
      <c r="G175" s="12"/>
      <c r="J175" s="5"/>
      <c r="L175" s="376"/>
    </row>
    <row r="176" spans="2:12" s="3" customFormat="1" ht="11.25" customHeight="1" x14ac:dyDescent="0.2">
      <c r="B176" s="293"/>
      <c r="D176" s="21"/>
      <c r="E176" s="25"/>
      <c r="F176" s="25"/>
      <c r="G176" s="12"/>
      <c r="J176" s="5"/>
      <c r="L176" s="376"/>
    </row>
    <row r="177" spans="2:12" s="3" customFormat="1" ht="11.25" customHeight="1" x14ac:dyDescent="0.2">
      <c r="B177" s="293"/>
      <c r="D177" s="21"/>
      <c r="E177" s="25"/>
      <c r="F177" s="25"/>
      <c r="G177" s="12"/>
      <c r="J177" s="5"/>
      <c r="L177" s="376"/>
    </row>
    <row r="178" spans="2:12" s="3" customFormat="1" ht="11.25" customHeight="1" x14ac:dyDescent="0.2">
      <c r="B178" s="293"/>
      <c r="D178" s="21"/>
      <c r="E178" s="25"/>
      <c r="F178" s="25"/>
      <c r="G178" s="12"/>
      <c r="J178" s="5"/>
      <c r="L178" s="376"/>
    </row>
    <row r="179" spans="2:12" s="3" customFormat="1" ht="11.25" customHeight="1" x14ac:dyDescent="0.2">
      <c r="B179" s="293"/>
      <c r="D179" s="21"/>
      <c r="E179" s="25"/>
      <c r="F179" s="25"/>
      <c r="G179" s="12"/>
      <c r="J179" s="5"/>
      <c r="L179" s="376"/>
    </row>
    <row r="180" spans="2:12" s="3" customFormat="1" ht="11.25" customHeight="1" x14ac:dyDescent="0.2">
      <c r="B180" s="293"/>
      <c r="D180" s="21"/>
      <c r="E180" s="25"/>
      <c r="F180" s="25"/>
      <c r="G180" s="12"/>
      <c r="J180" s="5"/>
      <c r="L180" s="376"/>
    </row>
    <row r="181" spans="2:12" s="3" customFormat="1" ht="11.25" customHeight="1" x14ac:dyDescent="0.2">
      <c r="B181" s="293"/>
      <c r="D181" s="21"/>
      <c r="E181" s="25"/>
      <c r="F181" s="25"/>
      <c r="G181" s="12"/>
      <c r="J181" s="5"/>
      <c r="L181" s="376"/>
    </row>
    <row r="182" spans="2:12" s="3" customFormat="1" ht="11.25" customHeight="1" x14ac:dyDescent="0.2">
      <c r="B182" s="293"/>
      <c r="D182" s="21"/>
      <c r="E182" s="25"/>
      <c r="F182" s="25"/>
      <c r="G182" s="12"/>
      <c r="J182" s="5"/>
      <c r="L182" s="376"/>
    </row>
    <row r="183" spans="2:12" s="3" customFormat="1" ht="11.25" customHeight="1" x14ac:dyDescent="0.2">
      <c r="B183" s="293"/>
      <c r="D183" s="21"/>
      <c r="E183" s="25"/>
      <c r="F183" s="25"/>
      <c r="G183" s="12"/>
      <c r="J183" s="5"/>
      <c r="L183" s="376"/>
    </row>
    <row r="184" spans="2:12" s="3" customFormat="1" ht="11.25" customHeight="1" x14ac:dyDescent="0.2">
      <c r="B184" s="293"/>
      <c r="D184" s="21"/>
      <c r="E184" s="25"/>
      <c r="F184" s="25"/>
      <c r="G184" s="12"/>
      <c r="J184" s="5"/>
      <c r="L184" s="376"/>
    </row>
    <row r="185" spans="2:12" s="3" customFormat="1" ht="11.25" customHeight="1" x14ac:dyDescent="0.2">
      <c r="B185" s="293"/>
      <c r="D185" s="21"/>
      <c r="E185" s="25"/>
      <c r="F185" s="25"/>
      <c r="G185" s="12"/>
      <c r="J185" s="5"/>
      <c r="L185" s="376"/>
    </row>
    <row r="186" spans="2:12" s="3" customFormat="1" ht="11.25" customHeight="1" x14ac:dyDescent="0.2">
      <c r="B186" s="293"/>
      <c r="D186" s="21"/>
      <c r="E186" s="25"/>
      <c r="F186" s="25"/>
      <c r="G186" s="12"/>
      <c r="J186" s="5"/>
      <c r="L186" s="376"/>
    </row>
    <row r="187" spans="2:12" s="3" customFormat="1" ht="11.25" customHeight="1" x14ac:dyDescent="0.2">
      <c r="B187" s="293"/>
      <c r="D187" s="21"/>
      <c r="E187" s="25"/>
      <c r="F187" s="25"/>
      <c r="G187" s="12"/>
      <c r="J187" s="5"/>
      <c r="L187" s="376"/>
    </row>
    <row r="188" spans="2:12" s="3" customFormat="1" ht="11.25" customHeight="1" x14ac:dyDescent="0.2">
      <c r="B188" s="293"/>
      <c r="D188" s="21"/>
      <c r="E188" s="25"/>
      <c r="F188" s="25"/>
      <c r="G188" s="12"/>
      <c r="J188" s="5"/>
      <c r="L188" s="376"/>
    </row>
    <row r="189" spans="2:12" s="3" customFormat="1" ht="11.25" customHeight="1" x14ac:dyDescent="0.2">
      <c r="B189" s="293"/>
      <c r="D189" s="21"/>
      <c r="E189" s="25"/>
      <c r="F189" s="25"/>
      <c r="G189" s="12"/>
      <c r="J189" s="5"/>
      <c r="L189" s="376"/>
    </row>
    <row r="190" spans="2:12" s="3" customFormat="1" ht="11.25" customHeight="1" x14ac:dyDescent="0.2">
      <c r="B190" s="293"/>
      <c r="D190" s="21"/>
      <c r="E190" s="25"/>
      <c r="F190" s="25"/>
      <c r="G190" s="12"/>
      <c r="J190" s="5"/>
      <c r="L190" s="376"/>
    </row>
    <row r="191" spans="2:12" s="3" customFormat="1" ht="11.25" customHeight="1" x14ac:dyDescent="0.2">
      <c r="B191" s="293"/>
      <c r="D191" s="21"/>
      <c r="E191" s="25"/>
      <c r="F191" s="25"/>
      <c r="G191" s="12"/>
      <c r="J191" s="5"/>
      <c r="L191" s="376"/>
    </row>
    <row r="192" spans="2:12" s="3" customFormat="1" ht="11.25" customHeight="1" x14ac:dyDescent="0.2">
      <c r="B192" s="293"/>
      <c r="D192" s="21"/>
      <c r="E192" s="25"/>
      <c r="F192" s="25"/>
      <c r="G192" s="12"/>
      <c r="J192" s="5"/>
      <c r="L192" s="376"/>
    </row>
    <row r="193" spans="2:12" s="3" customFormat="1" ht="11.25" customHeight="1" x14ac:dyDescent="0.2">
      <c r="B193" s="293"/>
      <c r="D193" s="21"/>
      <c r="E193" s="25"/>
      <c r="F193" s="25"/>
      <c r="G193" s="12"/>
      <c r="J193" s="5"/>
      <c r="L193" s="376"/>
    </row>
    <row r="194" spans="2:12" s="3" customFormat="1" ht="11.25" customHeight="1" x14ac:dyDescent="0.2">
      <c r="B194" s="293"/>
      <c r="D194" s="21"/>
      <c r="E194" s="25"/>
      <c r="F194" s="25"/>
      <c r="G194" s="12"/>
      <c r="J194" s="5"/>
      <c r="L194" s="376"/>
    </row>
    <row r="195" spans="2:12" s="3" customFormat="1" ht="11.25" customHeight="1" x14ac:dyDescent="0.2">
      <c r="B195" s="293"/>
      <c r="D195" s="21"/>
      <c r="E195" s="25"/>
      <c r="F195" s="25"/>
      <c r="G195" s="12"/>
      <c r="J195" s="5"/>
      <c r="L195" s="376"/>
    </row>
    <row r="196" spans="2:12" s="3" customFormat="1" ht="11.25" customHeight="1" x14ac:dyDescent="0.2">
      <c r="B196" s="293"/>
      <c r="D196" s="21"/>
      <c r="E196" s="25"/>
      <c r="F196" s="25"/>
      <c r="G196" s="12"/>
      <c r="J196" s="5"/>
      <c r="L196" s="376"/>
    </row>
    <row r="197" spans="2:12" s="3" customFormat="1" ht="11.25" customHeight="1" x14ac:dyDescent="0.2">
      <c r="B197" s="293"/>
      <c r="D197" s="21"/>
      <c r="E197" s="25"/>
      <c r="F197" s="25"/>
      <c r="G197" s="12"/>
      <c r="J197" s="5"/>
      <c r="L197" s="376"/>
    </row>
    <row r="198" spans="2:12" s="3" customFormat="1" ht="11.25" customHeight="1" x14ac:dyDescent="0.2">
      <c r="B198" s="293"/>
      <c r="D198" s="21"/>
      <c r="E198" s="25"/>
      <c r="F198" s="25"/>
      <c r="G198" s="12"/>
      <c r="J198" s="5"/>
      <c r="L198" s="376"/>
    </row>
    <row r="199" spans="2:12" s="3" customFormat="1" ht="11.25" customHeight="1" x14ac:dyDescent="0.2">
      <c r="B199" s="293"/>
      <c r="D199" s="21"/>
      <c r="E199" s="25"/>
      <c r="F199" s="25"/>
      <c r="G199" s="12"/>
      <c r="J199" s="5"/>
      <c r="L199" s="376"/>
    </row>
    <row r="200" spans="2:12" s="3" customFormat="1" ht="11.25" customHeight="1" x14ac:dyDescent="0.2">
      <c r="B200" s="293"/>
      <c r="D200" s="21"/>
      <c r="E200" s="25"/>
      <c r="F200" s="25"/>
      <c r="G200" s="12"/>
      <c r="J200" s="5"/>
      <c r="L200" s="376"/>
    </row>
    <row r="201" spans="2:12" s="3" customFormat="1" ht="11.25" customHeight="1" x14ac:dyDescent="0.2">
      <c r="B201" s="293"/>
      <c r="D201" s="21"/>
      <c r="E201" s="25"/>
      <c r="F201" s="25"/>
      <c r="G201" s="12"/>
      <c r="J201" s="5"/>
      <c r="L201" s="376"/>
    </row>
    <row r="202" spans="2:12" s="3" customFormat="1" ht="11.25" customHeight="1" x14ac:dyDescent="0.2">
      <c r="B202" s="293"/>
      <c r="D202" s="21"/>
      <c r="E202" s="25"/>
      <c r="F202" s="25"/>
      <c r="G202" s="12"/>
      <c r="J202" s="5"/>
      <c r="L202" s="376"/>
    </row>
    <row r="203" spans="2:12" s="3" customFormat="1" ht="11.25" customHeight="1" x14ac:dyDescent="0.2">
      <c r="B203" s="293"/>
      <c r="D203" s="21"/>
      <c r="E203" s="25"/>
      <c r="F203" s="25"/>
      <c r="G203" s="12"/>
      <c r="J203" s="5"/>
      <c r="L203" s="376"/>
    </row>
    <row r="204" spans="2:12" s="3" customFormat="1" ht="11.25" customHeight="1" x14ac:dyDescent="0.2">
      <c r="B204" s="293"/>
      <c r="D204" s="21"/>
      <c r="E204" s="25"/>
      <c r="F204" s="25"/>
      <c r="G204" s="12"/>
      <c r="J204" s="5"/>
      <c r="L204" s="376"/>
    </row>
    <row r="205" spans="2:12" s="3" customFormat="1" ht="11.25" customHeight="1" x14ac:dyDescent="0.2">
      <c r="B205" s="293"/>
      <c r="D205" s="21"/>
      <c r="E205" s="25"/>
      <c r="F205" s="25"/>
      <c r="G205" s="12"/>
      <c r="J205" s="5"/>
      <c r="L205" s="376"/>
    </row>
    <row r="206" spans="2:12" s="3" customFormat="1" ht="11.25" customHeight="1" x14ac:dyDescent="0.2">
      <c r="B206" s="293"/>
      <c r="D206" s="21"/>
      <c r="E206" s="25"/>
      <c r="F206" s="25"/>
      <c r="G206" s="12"/>
      <c r="J206" s="5"/>
      <c r="L206" s="376"/>
    </row>
    <row r="207" spans="2:12" s="3" customFormat="1" ht="11.25" customHeight="1" x14ac:dyDescent="0.2">
      <c r="B207" s="293"/>
      <c r="D207" s="21"/>
      <c r="E207" s="25"/>
      <c r="F207" s="25"/>
      <c r="G207" s="12"/>
      <c r="J207" s="5"/>
      <c r="L207" s="376"/>
    </row>
    <row r="208" spans="2:12" s="3" customFormat="1" ht="11.25" customHeight="1" x14ac:dyDescent="0.2">
      <c r="B208" s="293"/>
      <c r="D208" s="21"/>
      <c r="E208" s="25"/>
      <c r="F208" s="25"/>
      <c r="G208" s="12"/>
      <c r="J208" s="5"/>
      <c r="L208" s="376"/>
    </row>
    <row r="209" spans="2:12" s="3" customFormat="1" ht="11.25" customHeight="1" x14ac:dyDescent="0.2">
      <c r="B209" s="293"/>
      <c r="D209" s="21"/>
      <c r="E209" s="25"/>
      <c r="F209" s="25"/>
      <c r="G209" s="12"/>
      <c r="J209" s="5"/>
      <c r="L209" s="376"/>
    </row>
    <row r="210" spans="2:12" s="3" customFormat="1" ht="11.25" customHeight="1" x14ac:dyDescent="0.2">
      <c r="B210" s="293"/>
      <c r="D210" s="21"/>
      <c r="E210" s="25"/>
      <c r="F210" s="25"/>
      <c r="G210" s="12"/>
      <c r="J210" s="5"/>
      <c r="L210" s="376"/>
    </row>
    <row r="211" spans="2:12" s="3" customFormat="1" ht="11.25" customHeight="1" x14ac:dyDescent="0.2">
      <c r="B211" s="293"/>
      <c r="D211" s="21"/>
      <c r="E211" s="25"/>
      <c r="F211" s="25"/>
      <c r="G211" s="12"/>
      <c r="J211" s="5"/>
      <c r="L211" s="376"/>
    </row>
    <row r="212" spans="2:12" s="3" customFormat="1" ht="11.25" customHeight="1" x14ac:dyDescent="0.2">
      <c r="B212" s="293"/>
      <c r="D212" s="21"/>
      <c r="E212" s="25"/>
      <c r="F212" s="25"/>
      <c r="G212" s="12"/>
      <c r="J212" s="5"/>
      <c r="L212" s="376"/>
    </row>
    <row r="213" spans="2:12" s="3" customFormat="1" ht="11.25" customHeight="1" x14ac:dyDescent="0.2">
      <c r="B213" s="293"/>
      <c r="D213" s="21"/>
      <c r="E213" s="25"/>
      <c r="F213" s="25"/>
      <c r="G213" s="12"/>
      <c r="J213" s="5"/>
      <c r="L213" s="376"/>
    </row>
    <row r="214" spans="2:12" s="3" customFormat="1" ht="11.25" customHeight="1" x14ac:dyDescent="0.2">
      <c r="B214" s="293"/>
      <c r="D214" s="21"/>
      <c r="E214" s="25"/>
      <c r="F214" s="25"/>
      <c r="G214" s="12"/>
      <c r="J214" s="5"/>
      <c r="L214" s="376"/>
    </row>
    <row r="215" spans="2:12" s="3" customFormat="1" ht="11.25" customHeight="1" x14ac:dyDescent="0.2">
      <c r="B215" s="293"/>
      <c r="D215" s="21"/>
      <c r="E215" s="25"/>
      <c r="F215" s="25"/>
      <c r="G215" s="12"/>
      <c r="J215" s="5"/>
      <c r="L215" s="376"/>
    </row>
    <row r="216" spans="2:12" s="3" customFormat="1" ht="11.25" customHeight="1" x14ac:dyDescent="0.2">
      <c r="B216" s="293"/>
      <c r="D216" s="21"/>
      <c r="E216" s="25"/>
      <c r="F216" s="25"/>
      <c r="G216" s="12"/>
      <c r="J216" s="5"/>
      <c r="L216" s="376"/>
    </row>
    <row r="217" spans="2:12" s="3" customFormat="1" ht="11.25" customHeight="1" x14ac:dyDescent="0.2">
      <c r="B217" s="293"/>
      <c r="D217" s="21"/>
      <c r="E217" s="25"/>
      <c r="F217" s="25"/>
      <c r="G217" s="12"/>
      <c r="J217" s="5"/>
      <c r="L217" s="376"/>
    </row>
    <row r="218" spans="2:12" s="3" customFormat="1" ht="11.25" customHeight="1" x14ac:dyDescent="0.2">
      <c r="B218" s="293"/>
      <c r="D218" s="21"/>
      <c r="E218" s="25"/>
      <c r="F218" s="25"/>
      <c r="G218" s="12"/>
      <c r="J218" s="5"/>
      <c r="L218" s="376"/>
    </row>
    <row r="219" spans="2:12" s="3" customFormat="1" ht="11.25" customHeight="1" x14ac:dyDescent="0.2">
      <c r="B219" s="293"/>
      <c r="D219" s="21"/>
      <c r="E219" s="25"/>
      <c r="F219" s="25"/>
      <c r="G219" s="12"/>
      <c r="J219" s="5"/>
      <c r="L219" s="376"/>
    </row>
    <row r="220" spans="2:12" s="3" customFormat="1" ht="11.25" customHeight="1" x14ac:dyDescent="0.2">
      <c r="B220" s="293"/>
      <c r="D220" s="21"/>
      <c r="E220" s="25"/>
      <c r="F220" s="25"/>
      <c r="G220" s="12"/>
      <c r="J220" s="5"/>
      <c r="L220" s="376"/>
    </row>
    <row r="221" spans="2:12" s="3" customFormat="1" ht="11.25" customHeight="1" x14ac:dyDescent="0.2">
      <c r="B221" s="293"/>
      <c r="D221" s="21"/>
      <c r="E221" s="25"/>
      <c r="F221" s="25"/>
      <c r="G221" s="12"/>
      <c r="J221" s="5"/>
      <c r="L221" s="376"/>
    </row>
    <row r="222" spans="2:12" s="3" customFormat="1" ht="11.25" customHeight="1" x14ac:dyDescent="0.2">
      <c r="B222" s="293"/>
      <c r="D222" s="21"/>
      <c r="E222" s="25"/>
      <c r="F222" s="25"/>
      <c r="G222" s="12"/>
      <c r="J222" s="5"/>
      <c r="L222" s="376"/>
    </row>
    <row r="223" spans="2:12" s="3" customFormat="1" ht="11.25" customHeight="1" x14ac:dyDescent="0.2">
      <c r="B223" s="293"/>
      <c r="D223" s="21"/>
      <c r="E223" s="25"/>
      <c r="F223" s="25"/>
      <c r="G223" s="12"/>
      <c r="J223" s="5"/>
      <c r="L223" s="376"/>
    </row>
    <row r="224" spans="2:12" s="3" customFormat="1" ht="11.25" customHeight="1" x14ac:dyDescent="0.2">
      <c r="B224" s="293"/>
      <c r="D224" s="21"/>
      <c r="E224" s="25"/>
      <c r="F224" s="25"/>
      <c r="G224" s="12"/>
      <c r="J224" s="5"/>
      <c r="L224" s="376"/>
    </row>
    <row r="225" spans="2:12" s="3" customFormat="1" ht="11.25" customHeight="1" x14ac:dyDescent="0.2">
      <c r="B225" s="293"/>
      <c r="D225" s="21"/>
      <c r="E225" s="25"/>
      <c r="F225" s="25"/>
      <c r="G225" s="12"/>
      <c r="J225" s="5"/>
      <c r="L225" s="376"/>
    </row>
    <row r="226" spans="2:12" s="3" customFormat="1" ht="11.25" customHeight="1" x14ac:dyDescent="0.2">
      <c r="B226" s="293"/>
      <c r="D226" s="21"/>
      <c r="E226" s="25"/>
      <c r="F226" s="25"/>
      <c r="G226" s="12"/>
      <c r="J226" s="5"/>
      <c r="L226" s="376"/>
    </row>
    <row r="227" spans="2:12" s="3" customFormat="1" ht="11.25" customHeight="1" x14ac:dyDescent="0.2">
      <c r="B227" s="293"/>
      <c r="D227" s="21"/>
      <c r="E227" s="25"/>
      <c r="F227" s="25"/>
      <c r="G227" s="12"/>
      <c r="J227" s="5"/>
      <c r="L227" s="376"/>
    </row>
    <row r="228" spans="2:12" s="3" customFormat="1" ht="11.25" customHeight="1" x14ac:dyDescent="0.2">
      <c r="B228" s="293"/>
      <c r="D228" s="21"/>
      <c r="E228" s="25"/>
      <c r="F228" s="25"/>
      <c r="G228" s="12"/>
      <c r="J228" s="5"/>
      <c r="L228" s="376"/>
    </row>
    <row r="229" spans="2:12" s="3" customFormat="1" ht="11.25" customHeight="1" x14ac:dyDescent="0.2">
      <c r="B229" s="293"/>
      <c r="D229" s="21"/>
      <c r="E229" s="25"/>
      <c r="F229" s="25"/>
      <c r="G229" s="12"/>
      <c r="J229" s="5"/>
      <c r="L229" s="376"/>
    </row>
    <row r="230" spans="2:12" s="3" customFormat="1" ht="11.25" customHeight="1" x14ac:dyDescent="0.2">
      <c r="B230" s="293"/>
      <c r="D230" s="21"/>
      <c r="E230" s="25"/>
      <c r="F230" s="25"/>
      <c r="G230" s="12"/>
      <c r="J230" s="5"/>
      <c r="L230" s="376"/>
    </row>
    <row r="231" spans="2:12" s="3" customFormat="1" ht="11.25" customHeight="1" x14ac:dyDescent="0.2">
      <c r="B231" s="293"/>
      <c r="D231" s="21"/>
      <c r="E231" s="25"/>
      <c r="F231" s="25"/>
      <c r="G231" s="12"/>
      <c r="J231" s="5"/>
      <c r="L231" s="376"/>
    </row>
    <row r="232" spans="2:12" s="3" customFormat="1" ht="11.25" customHeight="1" x14ac:dyDescent="0.2">
      <c r="B232" s="293"/>
      <c r="D232" s="21"/>
      <c r="E232" s="25"/>
      <c r="F232" s="25"/>
      <c r="G232" s="12"/>
      <c r="J232" s="5"/>
      <c r="L232" s="376"/>
    </row>
    <row r="233" spans="2:12" s="3" customFormat="1" ht="11.25" customHeight="1" x14ac:dyDescent="0.2">
      <c r="B233" s="293"/>
      <c r="D233" s="21"/>
      <c r="E233" s="25"/>
      <c r="F233" s="25"/>
      <c r="G233" s="12"/>
      <c r="J233" s="5"/>
      <c r="L233" s="376"/>
    </row>
    <row r="234" spans="2:12" s="3" customFormat="1" ht="11.25" customHeight="1" x14ac:dyDescent="0.2">
      <c r="B234" s="293"/>
      <c r="D234" s="21"/>
      <c r="E234" s="25"/>
      <c r="F234" s="25"/>
      <c r="G234" s="12"/>
      <c r="J234" s="5"/>
      <c r="L234" s="376"/>
    </row>
    <row r="235" spans="2:12" s="3" customFormat="1" ht="11.25" customHeight="1" x14ac:dyDescent="0.2">
      <c r="B235" s="293"/>
      <c r="D235" s="21"/>
      <c r="E235" s="25"/>
      <c r="F235" s="25"/>
      <c r="G235" s="12"/>
      <c r="J235" s="5"/>
      <c r="L235" s="376"/>
    </row>
    <row r="236" spans="2:12" s="3" customFormat="1" ht="11.25" customHeight="1" x14ac:dyDescent="0.2">
      <c r="B236" s="293"/>
      <c r="D236" s="21"/>
      <c r="E236" s="25"/>
      <c r="F236" s="25"/>
      <c r="G236" s="12"/>
      <c r="J236" s="5"/>
      <c r="L236" s="376"/>
    </row>
    <row r="237" spans="2:12" s="3" customFormat="1" ht="11.25" customHeight="1" x14ac:dyDescent="0.2">
      <c r="B237" s="293"/>
      <c r="D237" s="21"/>
      <c r="E237" s="25"/>
      <c r="F237" s="25"/>
      <c r="G237" s="12"/>
      <c r="J237" s="5"/>
      <c r="L237" s="376"/>
    </row>
    <row r="238" spans="2:12" s="3" customFormat="1" ht="11.25" customHeight="1" x14ac:dyDescent="0.2">
      <c r="B238" s="293"/>
      <c r="D238" s="21"/>
      <c r="E238" s="25"/>
      <c r="F238" s="25"/>
      <c r="G238" s="12"/>
      <c r="J238" s="5"/>
      <c r="L238" s="376"/>
    </row>
    <row r="239" spans="2:12" s="3" customFormat="1" ht="11.25" customHeight="1" x14ac:dyDescent="0.2">
      <c r="B239" s="293"/>
      <c r="D239" s="21"/>
      <c r="E239" s="25"/>
      <c r="F239" s="25"/>
      <c r="G239" s="12"/>
      <c r="J239" s="5"/>
      <c r="L239" s="376"/>
    </row>
    <row r="240" spans="2:12" s="3" customFormat="1" ht="11.25" customHeight="1" x14ac:dyDescent="0.2">
      <c r="B240" s="293"/>
      <c r="D240" s="21"/>
      <c r="E240" s="25"/>
      <c r="F240" s="25"/>
      <c r="G240" s="12"/>
      <c r="J240" s="5"/>
      <c r="L240" s="376"/>
    </row>
    <row r="241" spans="2:12" s="3" customFormat="1" ht="11.25" customHeight="1" x14ac:dyDescent="0.2">
      <c r="B241" s="293"/>
      <c r="D241" s="21"/>
      <c r="E241" s="25"/>
      <c r="F241" s="25"/>
      <c r="G241" s="12"/>
      <c r="J241" s="5"/>
      <c r="L241" s="376"/>
    </row>
    <row r="242" spans="2:12" s="3" customFormat="1" ht="11.25" customHeight="1" x14ac:dyDescent="0.2">
      <c r="B242" s="293"/>
      <c r="D242" s="21"/>
      <c r="E242" s="25"/>
      <c r="F242" s="25"/>
      <c r="G242" s="12"/>
      <c r="J242" s="5"/>
      <c r="L242" s="376"/>
    </row>
    <row r="243" spans="2:12" s="3" customFormat="1" ht="11.25" customHeight="1" x14ac:dyDescent="0.2">
      <c r="B243" s="293"/>
      <c r="D243" s="21"/>
      <c r="E243" s="25"/>
      <c r="F243" s="25"/>
      <c r="G243" s="12"/>
      <c r="J243" s="5"/>
      <c r="L243" s="376"/>
    </row>
    <row r="244" spans="2:12" s="3" customFormat="1" ht="11.25" customHeight="1" x14ac:dyDescent="0.2">
      <c r="B244" s="293"/>
      <c r="D244" s="21"/>
      <c r="E244" s="25"/>
      <c r="F244" s="25"/>
      <c r="G244" s="12"/>
      <c r="J244" s="5"/>
      <c r="L244" s="376"/>
    </row>
    <row r="245" spans="2:12" s="3" customFormat="1" ht="11.25" customHeight="1" x14ac:dyDescent="0.2">
      <c r="B245" s="293"/>
      <c r="D245" s="21"/>
      <c r="E245" s="25"/>
      <c r="F245" s="25"/>
      <c r="G245" s="12"/>
      <c r="J245" s="5"/>
      <c r="L245" s="376"/>
    </row>
    <row r="246" spans="2:12" s="3" customFormat="1" ht="11.25" customHeight="1" x14ac:dyDescent="0.2">
      <c r="B246" s="293"/>
      <c r="D246" s="21"/>
      <c r="E246" s="25"/>
      <c r="F246" s="25"/>
      <c r="G246" s="12"/>
      <c r="J246" s="5"/>
      <c r="L246" s="376"/>
    </row>
    <row r="247" spans="2:12" s="3" customFormat="1" ht="11.25" customHeight="1" x14ac:dyDescent="0.2">
      <c r="B247" s="293"/>
      <c r="D247" s="21"/>
      <c r="E247" s="25"/>
      <c r="F247" s="25"/>
      <c r="G247" s="12"/>
      <c r="J247" s="5"/>
      <c r="L247" s="376"/>
    </row>
    <row r="248" spans="2:12" s="3" customFormat="1" ht="11.25" customHeight="1" x14ac:dyDescent="0.2">
      <c r="B248" s="293"/>
      <c r="D248" s="21"/>
      <c r="E248" s="25"/>
      <c r="F248" s="25"/>
      <c r="G248" s="12"/>
      <c r="J248" s="5"/>
      <c r="L248" s="376"/>
    </row>
    <row r="249" spans="2:12" s="3" customFormat="1" ht="11.25" customHeight="1" x14ac:dyDescent="0.2">
      <c r="B249" s="293"/>
      <c r="D249" s="21"/>
      <c r="E249" s="25"/>
      <c r="F249" s="25"/>
      <c r="G249" s="12"/>
      <c r="J249" s="5"/>
      <c r="L249" s="376"/>
    </row>
    <row r="250" spans="2:12" s="3" customFormat="1" ht="11.25" customHeight="1" x14ac:dyDescent="0.2">
      <c r="B250" s="293"/>
      <c r="D250" s="21"/>
      <c r="E250" s="25"/>
      <c r="F250" s="25"/>
      <c r="G250" s="12"/>
      <c r="J250" s="5"/>
      <c r="L250" s="376"/>
    </row>
    <row r="251" spans="2:12" s="3" customFormat="1" ht="11.25" customHeight="1" x14ac:dyDescent="0.2">
      <c r="B251" s="293"/>
      <c r="D251" s="21"/>
      <c r="E251" s="25"/>
      <c r="F251" s="25"/>
      <c r="G251" s="12"/>
      <c r="J251" s="5"/>
      <c r="L251" s="376"/>
    </row>
    <row r="252" spans="2:12" s="3" customFormat="1" ht="11.25" customHeight="1" x14ac:dyDescent="0.2">
      <c r="B252" s="293"/>
      <c r="D252" s="21"/>
      <c r="E252" s="25"/>
      <c r="F252" s="25"/>
      <c r="G252" s="12"/>
      <c r="J252" s="5"/>
      <c r="L252" s="376"/>
    </row>
    <row r="253" spans="2:12" s="3" customFormat="1" ht="11.25" customHeight="1" x14ac:dyDescent="0.2">
      <c r="B253" s="293"/>
      <c r="D253" s="21"/>
      <c r="E253" s="25"/>
      <c r="F253" s="25"/>
      <c r="G253" s="12"/>
      <c r="J253" s="5"/>
      <c r="L253" s="376"/>
    </row>
    <row r="254" spans="2:12" s="3" customFormat="1" ht="11.25" customHeight="1" x14ac:dyDescent="0.2">
      <c r="B254" s="293"/>
      <c r="D254" s="21"/>
      <c r="E254" s="25"/>
      <c r="F254" s="25"/>
      <c r="G254" s="12"/>
      <c r="J254" s="5"/>
      <c r="L254" s="376"/>
    </row>
    <row r="255" spans="2:12" s="3" customFormat="1" ht="11.25" customHeight="1" x14ac:dyDescent="0.2">
      <c r="B255" s="293"/>
      <c r="D255" s="21"/>
      <c r="E255" s="25"/>
      <c r="F255" s="25"/>
      <c r="G255" s="12"/>
      <c r="J255" s="5"/>
      <c r="L255" s="376"/>
    </row>
    <row r="256" spans="2:12" s="3" customFormat="1" ht="11.25" customHeight="1" x14ac:dyDescent="0.2">
      <c r="B256" s="293"/>
      <c r="D256" s="21"/>
      <c r="E256" s="25"/>
      <c r="F256" s="25"/>
      <c r="G256" s="12"/>
      <c r="J256" s="5"/>
      <c r="L256" s="376"/>
    </row>
    <row r="257" spans="2:12" s="3" customFormat="1" ht="11.25" customHeight="1" x14ac:dyDescent="0.2">
      <c r="B257" s="293"/>
      <c r="D257" s="21"/>
      <c r="E257" s="25"/>
      <c r="F257" s="25"/>
      <c r="G257" s="12"/>
      <c r="J257" s="5"/>
      <c r="L257" s="376"/>
    </row>
    <row r="258" spans="2:12" s="3" customFormat="1" ht="11.25" customHeight="1" x14ac:dyDescent="0.2">
      <c r="B258" s="293"/>
      <c r="D258" s="21"/>
      <c r="E258" s="25"/>
      <c r="F258" s="25"/>
      <c r="G258" s="12"/>
      <c r="J258" s="5"/>
      <c r="L258" s="376"/>
    </row>
    <row r="259" spans="2:12" s="3" customFormat="1" ht="11.25" customHeight="1" x14ac:dyDescent="0.2">
      <c r="B259" s="293"/>
      <c r="D259" s="21"/>
      <c r="E259" s="25"/>
      <c r="F259" s="25"/>
      <c r="G259" s="12"/>
      <c r="J259" s="5"/>
      <c r="L259" s="376"/>
    </row>
    <row r="260" spans="2:12" s="3" customFormat="1" ht="11.25" customHeight="1" x14ac:dyDescent="0.2">
      <c r="B260" s="293"/>
      <c r="D260" s="21"/>
      <c r="E260" s="25"/>
      <c r="F260" s="25"/>
      <c r="G260" s="12"/>
      <c r="J260" s="5"/>
      <c r="L260" s="376"/>
    </row>
    <row r="261" spans="2:12" s="3" customFormat="1" ht="11.25" customHeight="1" x14ac:dyDescent="0.2">
      <c r="B261" s="293"/>
      <c r="D261" s="21"/>
      <c r="E261" s="25"/>
      <c r="F261" s="25"/>
      <c r="G261" s="12"/>
      <c r="J261" s="5"/>
      <c r="L261" s="376"/>
    </row>
    <row r="262" spans="2:12" s="3" customFormat="1" ht="11.25" customHeight="1" x14ac:dyDescent="0.2">
      <c r="B262" s="293"/>
      <c r="D262" s="21"/>
      <c r="E262" s="25"/>
      <c r="F262" s="25"/>
      <c r="G262" s="12"/>
      <c r="J262" s="5"/>
      <c r="L262" s="376"/>
    </row>
    <row r="263" spans="2:12" s="3" customFormat="1" ht="11.25" customHeight="1" x14ac:dyDescent="0.2">
      <c r="B263" s="293"/>
      <c r="D263" s="21"/>
      <c r="E263" s="25"/>
      <c r="F263" s="25"/>
      <c r="G263" s="12"/>
      <c r="J263" s="5"/>
      <c r="L263" s="376"/>
    </row>
    <row r="264" spans="2:12" s="3" customFormat="1" ht="11.25" customHeight="1" x14ac:dyDescent="0.2">
      <c r="B264" s="293"/>
      <c r="D264" s="21"/>
      <c r="E264" s="25"/>
      <c r="F264" s="25"/>
      <c r="G264" s="12"/>
      <c r="J264" s="5"/>
      <c r="L264" s="376"/>
    </row>
    <row r="265" spans="2:12" s="3" customFormat="1" ht="11.25" customHeight="1" x14ac:dyDescent="0.2">
      <c r="B265" s="293"/>
      <c r="D265" s="21"/>
      <c r="E265" s="25"/>
      <c r="F265" s="25"/>
      <c r="G265" s="12"/>
      <c r="J265" s="5"/>
      <c r="L265" s="376"/>
    </row>
    <row r="266" spans="2:12" s="3" customFormat="1" ht="11.25" customHeight="1" x14ac:dyDescent="0.2">
      <c r="B266" s="293"/>
      <c r="D266" s="21"/>
      <c r="E266" s="25"/>
      <c r="F266" s="25"/>
      <c r="G266" s="12"/>
      <c r="J266" s="5"/>
      <c r="L266" s="376"/>
    </row>
    <row r="267" spans="2:12" s="3" customFormat="1" ht="11.25" customHeight="1" x14ac:dyDescent="0.2">
      <c r="B267" s="293"/>
      <c r="D267" s="21"/>
      <c r="E267" s="25"/>
      <c r="F267" s="25"/>
      <c r="G267" s="12"/>
      <c r="J267" s="5"/>
      <c r="L267" s="376"/>
    </row>
    <row r="268" spans="2:12" s="3" customFormat="1" ht="11.25" customHeight="1" x14ac:dyDescent="0.2">
      <c r="B268" s="293"/>
      <c r="D268" s="21"/>
      <c r="E268" s="25"/>
      <c r="F268" s="25"/>
      <c r="G268" s="12"/>
      <c r="J268" s="5"/>
      <c r="L268" s="376"/>
    </row>
    <row r="269" spans="2:12" s="3" customFormat="1" ht="11.25" customHeight="1" x14ac:dyDescent="0.2">
      <c r="B269" s="293"/>
      <c r="D269" s="21"/>
      <c r="E269" s="25"/>
      <c r="F269" s="25"/>
      <c r="G269" s="12"/>
      <c r="J269" s="5"/>
      <c r="L269" s="376"/>
    </row>
    <row r="270" spans="2:12" s="3" customFormat="1" ht="11.25" customHeight="1" x14ac:dyDescent="0.2">
      <c r="B270" s="293"/>
      <c r="D270" s="21"/>
      <c r="E270" s="25"/>
      <c r="F270" s="25"/>
      <c r="G270" s="12"/>
      <c r="J270" s="5"/>
      <c r="L270" s="376"/>
    </row>
    <row r="271" spans="2:12" s="3" customFormat="1" ht="11.25" customHeight="1" x14ac:dyDescent="0.2">
      <c r="B271" s="293"/>
      <c r="D271" s="21"/>
      <c r="E271" s="25"/>
      <c r="F271" s="25"/>
      <c r="G271" s="12"/>
      <c r="J271" s="5"/>
      <c r="L271" s="376"/>
    </row>
    <row r="272" spans="2:12" s="3" customFormat="1" ht="11.25" customHeight="1" x14ac:dyDescent="0.2">
      <c r="B272" s="293"/>
      <c r="D272" s="21"/>
      <c r="E272" s="25"/>
      <c r="F272" s="25"/>
      <c r="G272" s="12"/>
      <c r="J272" s="5"/>
      <c r="L272" s="376"/>
    </row>
    <row r="273" spans="2:12" s="3" customFormat="1" ht="11.25" customHeight="1" x14ac:dyDescent="0.2">
      <c r="B273" s="293"/>
      <c r="D273" s="21"/>
      <c r="E273" s="25"/>
      <c r="F273" s="25"/>
      <c r="G273" s="12"/>
      <c r="J273" s="5"/>
      <c r="L273" s="376"/>
    </row>
    <row r="274" spans="2:12" s="3" customFormat="1" ht="11.25" customHeight="1" x14ac:dyDescent="0.2">
      <c r="B274" s="293"/>
      <c r="D274" s="21"/>
      <c r="E274" s="25"/>
      <c r="F274" s="25"/>
      <c r="G274" s="12"/>
      <c r="J274" s="5"/>
      <c r="L274" s="376"/>
    </row>
    <row r="275" spans="2:12" s="3" customFormat="1" ht="11.25" customHeight="1" x14ac:dyDescent="0.2">
      <c r="B275" s="293"/>
      <c r="D275" s="21"/>
      <c r="E275" s="25"/>
      <c r="F275" s="25"/>
      <c r="G275" s="12"/>
      <c r="J275" s="5"/>
      <c r="L275" s="376"/>
    </row>
    <row r="276" spans="2:12" s="3" customFormat="1" ht="11.25" customHeight="1" x14ac:dyDescent="0.2">
      <c r="B276" s="293"/>
      <c r="D276" s="21"/>
      <c r="E276" s="25"/>
      <c r="F276" s="25"/>
      <c r="G276" s="12"/>
      <c r="J276" s="5"/>
      <c r="L276" s="376"/>
    </row>
    <row r="277" spans="2:12" s="3" customFormat="1" ht="11.25" customHeight="1" x14ac:dyDescent="0.2">
      <c r="B277" s="293"/>
      <c r="D277" s="21"/>
      <c r="E277" s="25"/>
      <c r="F277" s="25"/>
      <c r="G277" s="12"/>
      <c r="J277" s="5"/>
      <c r="L277" s="376"/>
    </row>
    <row r="278" spans="2:12" s="3" customFormat="1" ht="11.25" customHeight="1" x14ac:dyDescent="0.2">
      <c r="B278" s="293"/>
      <c r="D278" s="21"/>
      <c r="E278" s="25"/>
      <c r="F278" s="25"/>
      <c r="G278" s="12"/>
      <c r="J278" s="5"/>
      <c r="L278" s="376"/>
    </row>
    <row r="279" spans="2:12" s="3" customFormat="1" ht="11.25" customHeight="1" x14ac:dyDescent="0.2">
      <c r="B279" s="293"/>
      <c r="D279" s="21"/>
      <c r="E279" s="25"/>
      <c r="F279" s="25"/>
      <c r="G279" s="12"/>
      <c r="J279" s="5"/>
      <c r="L279" s="376"/>
    </row>
    <row r="280" spans="2:12" s="3" customFormat="1" ht="11.25" customHeight="1" x14ac:dyDescent="0.2">
      <c r="B280" s="293"/>
      <c r="D280" s="21"/>
      <c r="E280" s="25"/>
      <c r="F280" s="25"/>
      <c r="G280" s="12"/>
      <c r="J280" s="5"/>
      <c r="L280" s="376"/>
    </row>
    <row r="281" spans="2:12" s="3" customFormat="1" ht="11.25" customHeight="1" x14ac:dyDescent="0.2">
      <c r="B281" s="293"/>
      <c r="D281" s="21"/>
      <c r="E281" s="25"/>
      <c r="F281" s="25"/>
      <c r="G281" s="12"/>
      <c r="J281" s="5"/>
      <c r="L281" s="376"/>
    </row>
    <row r="282" spans="2:12" s="3" customFormat="1" ht="11.25" customHeight="1" x14ac:dyDescent="0.2">
      <c r="B282" s="293"/>
      <c r="D282" s="21"/>
      <c r="E282" s="25"/>
      <c r="F282" s="25"/>
      <c r="G282" s="12"/>
      <c r="J282" s="5"/>
      <c r="L282" s="376"/>
    </row>
    <row r="283" spans="2:12" s="3" customFormat="1" ht="11.25" customHeight="1" x14ac:dyDescent="0.2">
      <c r="B283" s="293"/>
      <c r="D283" s="21"/>
      <c r="E283" s="25"/>
      <c r="F283" s="25"/>
      <c r="G283" s="12"/>
      <c r="J283" s="5"/>
      <c r="L283" s="376"/>
    </row>
    <row r="284" spans="2:12" s="3" customFormat="1" ht="11.25" customHeight="1" x14ac:dyDescent="0.2">
      <c r="B284" s="293"/>
      <c r="D284" s="21"/>
      <c r="E284" s="25"/>
      <c r="F284" s="25"/>
      <c r="G284" s="12"/>
      <c r="J284" s="5"/>
      <c r="L284" s="376"/>
    </row>
    <row r="285" spans="2:12" s="3" customFormat="1" ht="11.25" customHeight="1" x14ac:dyDescent="0.2">
      <c r="B285" s="293"/>
      <c r="D285" s="21"/>
      <c r="E285" s="25"/>
      <c r="F285" s="25"/>
      <c r="G285" s="12"/>
      <c r="J285" s="5"/>
      <c r="L285" s="376"/>
    </row>
    <row r="286" spans="2:12" s="3" customFormat="1" ht="11.25" customHeight="1" x14ac:dyDescent="0.2">
      <c r="B286" s="293"/>
      <c r="D286" s="21"/>
      <c r="E286" s="25"/>
      <c r="F286" s="25"/>
      <c r="G286" s="12"/>
      <c r="J286" s="5"/>
      <c r="L286" s="376"/>
    </row>
    <row r="287" spans="2:12" s="3" customFormat="1" ht="11.25" customHeight="1" x14ac:dyDescent="0.2">
      <c r="B287" s="293"/>
      <c r="D287" s="21"/>
      <c r="E287" s="25"/>
      <c r="F287" s="25"/>
      <c r="G287" s="12"/>
      <c r="J287" s="5"/>
      <c r="L287" s="376"/>
    </row>
    <row r="288" spans="2:12" s="3" customFormat="1" ht="11.25" customHeight="1" x14ac:dyDescent="0.2">
      <c r="B288" s="293"/>
      <c r="D288" s="21"/>
      <c r="E288" s="25"/>
      <c r="F288" s="25"/>
      <c r="G288" s="12"/>
      <c r="J288" s="5"/>
      <c r="L288" s="376"/>
    </row>
    <row r="289" spans="2:12" s="3" customFormat="1" ht="11.25" customHeight="1" x14ac:dyDescent="0.2">
      <c r="B289" s="293"/>
      <c r="D289" s="21"/>
      <c r="E289" s="25"/>
      <c r="F289" s="25"/>
      <c r="G289" s="12"/>
      <c r="J289" s="5"/>
      <c r="L289" s="376"/>
    </row>
    <row r="290" spans="2:12" s="3" customFormat="1" ht="11.25" customHeight="1" x14ac:dyDescent="0.2">
      <c r="B290" s="293"/>
      <c r="D290" s="21"/>
      <c r="E290" s="25"/>
      <c r="F290" s="25"/>
      <c r="G290" s="12"/>
      <c r="J290" s="5"/>
      <c r="L290" s="376"/>
    </row>
    <row r="291" spans="2:12" s="3" customFormat="1" ht="11.25" customHeight="1" x14ac:dyDescent="0.2">
      <c r="B291" s="293"/>
      <c r="D291" s="21"/>
      <c r="E291" s="25"/>
      <c r="F291" s="25"/>
      <c r="G291" s="12"/>
      <c r="J291" s="5"/>
      <c r="L291" s="376"/>
    </row>
    <row r="292" spans="2:12" s="3" customFormat="1" ht="11.25" customHeight="1" x14ac:dyDescent="0.2">
      <c r="B292" s="293"/>
      <c r="D292" s="21"/>
      <c r="E292" s="25"/>
      <c r="F292" s="25"/>
      <c r="G292" s="12"/>
      <c r="J292" s="5"/>
      <c r="L292" s="376"/>
    </row>
    <row r="293" spans="2:12" s="3" customFormat="1" ht="11.25" customHeight="1" x14ac:dyDescent="0.2">
      <c r="B293" s="293"/>
      <c r="D293" s="21"/>
      <c r="E293" s="25"/>
      <c r="F293" s="25"/>
      <c r="G293" s="12"/>
      <c r="J293" s="5"/>
      <c r="L293" s="376"/>
    </row>
    <row r="294" spans="2:12" s="3" customFormat="1" ht="11.25" customHeight="1" x14ac:dyDescent="0.2">
      <c r="B294" s="293"/>
      <c r="D294" s="21"/>
      <c r="E294" s="25"/>
      <c r="F294" s="25"/>
      <c r="G294" s="12"/>
      <c r="J294" s="5"/>
      <c r="L294" s="376"/>
    </row>
    <row r="295" spans="2:12" s="3" customFormat="1" ht="11.25" customHeight="1" x14ac:dyDescent="0.2">
      <c r="B295" s="293"/>
      <c r="D295" s="21"/>
      <c r="E295" s="25"/>
      <c r="F295" s="25"/>
      <c r="G295" s="12"/>
      <c r="J295" s="5"/>
      <c r="L295" s="376"/>
    </row>
    <row r="296" spans="2:12" s="3" customFormat="1" ht="11.25" customHeight="1" x14ac:dyDescent="0.2">
      <c r="B296" s="293"/>
      <c r="D296" s="21"/>
      <c r="E296" s="25"/>
      <c r="F296" s="25"/>
      <c r="G296" s="12"/>
      <c r="J296" s="5"/>
      <c r="L296" s="376"/>
    </row>
    <row r="297" spans="2:12" s="3" customFormat="1" ht="11.25" customHeight="1" x14ac:dyDescent="0.2">
      <c r="B297" s="293"/>
      <c r="D297" s="21"/>
      <c r="E297" s="25"/>
      <c r="F297" s="25"/>
      <c r="G297" s="12"/>
      <c r="J297" s="5"/>
      <c r="L297" s="376"/>
    </row>
    <row r="298" spans="2:12" s="3" customFormat="1" ht="11.25" customHeight="1" x14ac:dyDescent="0.2">
      <c r="B298" s="293"/>
      <c r="D298" s="21"/>
      <c r="E298" s="25"/>
      <c r="F298" s="25"/>
      <c r="G298" s="12"/>
      <c r="J298" s="5"/>
      <c r="L298" s="376"/>
    </row>
    <row r="299" spans="2:12" s="3" customFormat="1" ht="11.25" customHeight="1" x14ac:dyDescent="0.2">
      <c r="B299" s="293"/>
      <c r="D299" s="21"/>
      <c r="E299" s="25"/>
      <c r="F299" s="25"/>
      <c r="G299" s="12"/>
      <c r="J299" s="5"/>
      <c r="L299" s="376"/>
    </row>
    <row r="300" spans="2:12" s="3" customFormat="1" ht="11.25" customHeight="1" x14ac:dyDescent="0.2">
      <c r="B300" s="293"/>
      <c r="D300" s="21"/>
      <c r="E300" s="25"/>
      <c r="F300" s="25"/>
      <c r="G300" s="12"/>
      <c r="J300" s="5"/>
      <c r="L300" s="376"/>
    </row>
    <row r="301" spans="2:12" s="3" customFormat="1" ht="11.25" customHeight="1" x14ac:dyDescent="0.2">
      <c r="B301" s="293"/>
      <c r="D301" s="21"/>
      <c r="E301" s="25"/>
      <c r="F301" s="25"/>
      <c r="G301" s="12"/>
      <c r="J301" s="5"/>
      <c r="L301" s="376"/>
    </row>
    <row r="302" spans="2:12" s="3" customFormat="1" ht="11.25" customHeight="1" x14ac:dyDescent="0.2">
      <c r="B302" s="293"/>
      <c r="D302" s="21"/>
      <c r="E302" s="25"/>
      <c r="F302" s="25"/>
      <c r="G302" s="12"/>
      <c r="J302" s="5"/>
      <c r="L302" s="376"/>
    </row>
    <row r="303" spans="2:12" s="3" customFormat="1" ht="11.25" customHeight="1" x14ac:dyDescent="0.2">
      <c r="B303" s="293"/>
      <c r="D303" s="21"/>
      <c r="E303" s="25"/>
      <c r="F303" s="25"/>
      <c r="G303" s="12"/>
      <c r="J303" s="5"/>
      <c r="L303" s="376"/>
    </row>
    <row r="304" spans="2:12" s="3" customFormat="1" ht="11.25" customHeight="1" x14ac:dyDescent="0.2">
      <c r="B304" s="293"/>
      <c r="D304" s="21"/>
      <c r="E304" s="25"/>
      <c r="F304" s="25"/>
      <c r="G304" s="12"/>
      <c r="J304" s="5"/>
      <c r="L304" s="376"/>
    </row>
    <row r="305" spans="2:12" s="3" customFormat="1" ht="11.25" customHeight="1" x14ac:dyDescent="0.2">
      <c r="B305" s="293"/>
      <c r="D305" s="21"/>
      <c r="E305" s="25"/>
      <c r="F305" s="25"/>
      <c r="G305" s="12"/>
      <c r="J305" s="5"/>
      <c r="L305" s="376"/>
    </row>
    <row r="306" spans="2:12" s="3" customFormat="1" ht="11.25" customHeight="1" x14ac:dyDescent="0.2">
      <c r="B306" s="293"/>
      <c r="D306" s="21"/>
      <c r="E306" s="25"/>
      <c r="F306" s="25"/>
      <c r="G306" s="12"/>
      <c r="J306" s="5"/>
      <c r="L306" s="376"/>
    </row>
    <row r="307" spans="2:12" s="3" customFormat="1" ht="11.25" customHeight="1" x14ac:dyDescent="0.2">
      <c r="B307" s="293"/>
      <c r="D307" s="21"/>
      <c r="E307" s="25"/>
      <c r="F307" s="25"/>
      <c r="G307" s="12"/>
      <c r="J307" s="5"/>
      <c r="L307" s="376"/>
    </row>
    <row r="308" spans="2:12" s="3" customFormat="1" ht="11.25" customHeight="1" x14ac:dyDescent="0.2">
      <c r="B308" s="293"/>
      <c r="D308" s="21"/>
      <c r="E308" s="25"/>
      <c r="F308" s="25"/>
      <c r="G308" s="12"/>
      <c r="J308" s="5"/>
      <c r="L308" s="376"/>
    </row>
    <row r="309" spans="2:12" s="3" customFormat="1" ht="11.25" customHeight="1" x14ac:dyDescent="0.2">
      <c r="B309" s="293"/>
      <c r="D309" s="21"/>
      <c r="E309" s="25"/>
      <c r="F309" s="25"/>
      <c r="G309" s="12"/>
      <c r="J309" s="5"/>
      <c r="L309" s="376"/>
    </row>
    <row r="310" spans="2:12" s="3" customFormat="1" ht="11.25" customHeight="1" x14ac:dyDescent="0.2">
      <c r="B310" s="293"/>
      <c r="D310" s="21"/>
      <c r="E310" s="25"/>
      <c r="F310" s="25"/>
      <c r="G310" s="12"/>
      <c r="J310" s="5"/>
      <c r="L310" s="376"/>
    </row>
    <row r="311" spans="2:12" s="3" customFormat="1" ht="11.25" customHeight="1" x14ac:dyDescent="0.2">
      <c r="B311" s="293"/>
      <c r="D311" s="21"/>
      <c r="E311" s="25"/>
      <c r="F311" s="25"/>
      <c r="G311" s="12"/>
      <c r="J311" s="5"/>
      <c r="L311" s="376"/>
    </row>
    <row r="312" spans="2:12" s="3" customFormat="1" ht="11.25" customHeight="1" x14ac:dyDescent="0.2">
      <c r="B312" s="293"/>
      <c r="D312" s="21"/>
      <c r="E312" s="25"/>
      <c r="F312" s="25"/>
      <c r="G312" s="12"/>
      <c r="J312" s="5"/>
      <c r="L312" s="376"/>
    </row>
    <row r="313" spans="2:12" s="3" customFormat="1" ht="11.25" customHeight="1" x14ac:dyDescent="0.2">
      <c r="B313" s="293"/>
      <c r="D313" s="21"/>
      <c r="E313" s="25"/>
      <c r="F313" s="25"/>
      <c r="G313" s="12"/>
      <c r="J313" s="5"/>
      <c r="L313" s="376"/>
    </row>
    <row r="314" spans="2:12" s="3" customFormat="1" ht="11.25" customHeight="1" x14ac:dyDescent="0.2">
      <c r="B314" s="293"/>
      <c r="D314" s="21"/>
      <c r="E314" s="25"/>
      <c r="F314" s="25"/>
      <c r="G314" s="12"/>
      <c r="J314" s="5"/>
      <c r="L314" s="376"/>
    </row>
    <row r="315" spans="2:12" s="3" customFormat="1" ht="11.25" customHeight="1" x14ac:dyDescent="0.2">
      <c r="B315" s="293"/>
      <c r="D315" s="21"/>
      <c r="E315" s="25"/>
      <c r="F315" s="25"/>
      <c r="G315" s="12"/>
      <c r="J315" s="5"/>
      <c r="L315" s="376"/>
    </row>
    <row r="316" spans="2:12" s="3" customFormat="1" ht="11.25" customHeight="1" x14ac:dyDescent="0.2">
      <c r="B316" s="293"/>
      <c r="D316" s="21"/>
      <c r="E316" s="25"/>
      <c r="F316" s="25"/>
      <c r="G316" s="12"/>
      <c r="J316" s="5"/>
      <c r="L316" s="376"/>
    </row>
    <row r="317" spans="2:12" s="3" customFormat="1" ht="11.25" customHeight="1" x14ac:dyDescent="0.2">
      <c r="B317" s="293"/>
      <c r="D317" s="21"/>
      <c r="E317" s="25"/>
      <c r="F317" s="25"/>
      <c r="G317" s="12"/>
      <c r="J317" s="5"/>
      <c r="L317" s="376"/>
    </row>
    <row r="318" spans="2:12" s="3" customFormat="1" ht="11.25" customHeight="1" x14ac:dyDescent="0.2">
      <c r="B318" s="293"/>
      <c r="D318" s="21"/>
      <c r="E318" s="25"/>
      <c r="F318" s="25"/>
      <c r="G318" s="12"/>
      <c r="J318" s="5"/>
      <c r="L318" s="376"/>
    </row>
    <row r="319" spans="2:12" s="3" customFormat="1" ht="11.25" customHeight="1" x14ac:dyDescent="0.2">
      <c r="B319" s="293"/>
      <c r="D319" s="21"/>
      <c r="E319" s="25"/>
      <c r="F319" s="25"/>
      <c r="G319" s="12"/>
      <c r="J319" s="5"/>
      <c r="L319" s="376"/>
    </row>
    <row r="320" spans="2:12" s="3" customFormat="1" ht="11.25" customHeight="1" x14ac:dyDescent="0.2">
      <c r="B320" s="293"/>
      <c r="D320" s="21"/>
      <c r="E320" s="25"/>
      <c r="F320" s="25"/>
      <c r="G320" s="12"/>
      <c r="J320" s="5"/>
      <c r="L320" s="376"/>
    </row>
    <row r="321" spans="2:12" s="3" customFormat="1" ht="11.25" customHeight="1" x14ac:dyDescent="0.2">
      <c r="B321" s="293"/>
      <c r="D321" s="21"/>
      <c r="E321" s="25"/>
      <c r="F321" s="25"/>
      <c r="G321" s="12"/>
      <c r="J321" s="5"/>
      <c r="L321" s="376"/>
    </row>
    <row r="322" spans="2:12" s="3" customFormat="1" ht="11.25" customHeight="1" x14ac:dyDescent="0.2">
      <c r="B322" s="293"/>
      <c r="D322" s="21"/>
      <c r="E322" s="25"/>
      <c r="F322" s="25"/>
      <c r="G322" s="12"/>
      <c r="J322" s="5"/>
      <c r="L322" s="376"/>
    </row>
    <row r="323" spans="2:12" s="3" customFormat="1" ht="11.25" customHeight="1" x14ac:dyDescent="0.2">
      <c r="B323" s="293"/>
      <c r="D323" s="21"/>
      <c r="E323" s="25"/>
      <c r="F323" s="25"/>
      <c r="G323" s="12"/>
      <c r="J323" s="5"/>
      <c r="L323" s="376"/>
    </row>
    <row r="324" spans="2:12" s="3" customFormat="1" ht="11.25" customHeight="1" x14ac:dyDescent="0.2">
      <c r="B324" s="293"/>
      <c r="D324" s="21"/>
      <c r="E324" s="25"/>
      <c r="F324" s="25"/>
      <c r="G324" s="12"/>
      <c r="J324" s="5"/>
      <c r="L324" s="376"/>
    </row>
    <row r="325" spans="2:12" s="3" customFormat="1" ht="11.25" customHeight="1" x14ac:dyDescent="0.2">
      <c r="B325" s="293"/>
      <c r="D325" s="21"/>
      <c r="E325" s="25"/>
      <c r="F325" s="25"/>
      <c r="G325" s="12"/>
      <c r="J325" s="5"/>
      <c r="L325" s="376"/>
    </row>
    <row r="326" spans="2:12" s="3" customFormat="1" ht="11.25" customHeight="1" x14ac:dyDescent="0.2">
      <c r="B326" s="293"/>
      <c r="D326" s="21"/>
      <c r="E326" s="25"/>
      <c r="F326" s="25"/>
      <c r="G326" s="12"/>
      <c r="J326" s="5"/>
      <c r="L326" s="376"/>
    </row>
    <row r="327" spans="2:12" s="3" customFormat="1" ht="11.25" customHeight="1" x14ac:dyDescent="0.2">
      <c r="B327" s="293"/>
      <c r="D327" s="21"/>
      <c r="E327" s="25"/>
      <c r="F327" s="25"/>
      <c r="G327" s="12"/>
      <c r="J327" s="5"/>
      <c r="L327" s="376"/>
    </row>
    <row r="328" spans="2:12" s="3" customFormat="1" ht="11.25" customHeight="1" x14ac:dyDescent="0.2">
      <c r="B328" s="293"/>
      <c r="D328" s="21"/>
      <c r="E328" s="25"/>
      <c r="F328" s="25"/>
      <c r="G328" s="12"/>
      <c r="J328" s="5"/>
      <c r="L328" s="376"/>
    </row>
    <row r="329" spans="2:12" s="3" customFormat="1" ht="11.25" customHeight="1" x14ac:dyDescent="0.2">
      <c r="B329" s="293"/>
      <c r="D329" s="21"/>
      <c r="E329" s="25"/>
      <c r="F329" s="25"/>
      <c r="G329" s="12"/>
      <c r="J329" s="5"/>
      <c r="L329" s="376"/>
    </row>
    <row r="330" spans="2:12" s="3" customFormat="1" ht="11.25" customHeight="1" x14ac:dyDescent="0.2">
      <c r="B330" s="293"/>
      <c r="D330" s="21"/>
      <c r="E330" s="25"/>
      <c r="F330" s="25"/>
      <c r="G330" s="12"/>
      <c r="J330" s="5"/>
      <c r="L330" s="376"/>
    </row>
    <row r="331" spans="2:12" s="3" customFormat="1" ht="11.25" customHeight="1" x14ac:dyDescent="0.2">
      <c r="B331" s="293"/>
      <c r="D331" s="21"/>
      <c r="E331" s="25"/>
      <c r="F331" s="25"/>
      <c r="G331" s="12"/>
      <c r="J331" s="5"/>
      <c r="L331" s="376"/>
    </row>
    <row r="332" spans="2:12" s="3" customFormat="1" ht="11.25" customHeight="1" x14ac:dyDescent="0.2">
      <c r="B332" s="293"/>
      <c r="D332" s="21"/>
      <c r="E332" s="25"/>
      <c r="F332" s="25"/>
      <c r="G332" s="12"/>
      <c r="J332" s="5"/>
      <c r="L332" s="376"/>
    </row>
    <row r="333" spans="2:12" s="3" customFormat="1" ht="11.25" customHeight="1" x14ac:dyDescent="0.2">
      <c r="B333" s="293"/>
      <c r="D333" s="21"/>
      <c r="E333" s="25"/>
      <c r="F333" s="25"/>
      <c r="G333" s="12"/>
      <c r="J333" s="5"/>
      <c r="L333" s="376"/>
    </row>
    <row r="334" spans="2:12" s="3" customFormat="1" ht="11.25" customHeight="1" x14ac:dyDescent="0.2">
      <c r="B334" s="293"/>
      <c r="D334" s="21"/>
      <c r="E334" s="25"/>
      <c r="F334" s="25"/>
      <c r="G334" s="12"/>
      <c r="J334" s="5"/>
      <c r="L334" s="376"/>
    </row>
    <row r="335" spans="2:12" s="3" customFormat="1" ht="11.25" customHeight="1" x14ac:dyDescent="0.2">
      <c r="B335" s="293"/>
      <c r="D335" s="21"/>
      <c r="E335" s="25"/>
      <c r="F335" s="25"/>
      <c r="G335" s="12"/>
      <c r="J335" s="5"/>
      <c r="L335" s="376"/>
    </row>
    <row r="336" spans="2:12" s="3" customFormat="1" ht="11.25" customHeight="1" x14ac:dyDescent="0.2">
      <c r="B336" s="293"/>
      <c r="D336" s="21"/>
      <c r="E336" s="25"/>
      <c r="F336" s="25"/>
      <c r="G336" s="12"/>
      <c r="J336" s="5"/>
      <c r="L336" s="376"/>
    </row>
    <row r="337" spans="2:12" s="3" customFormat="1" ht="11.25" customHeight="1" x14ac:dyDescent="0.2">
      <c r="B337" s="293"/>
      <c r="D337" s="21"/>
      <c r="E337" s="25"/>
      <c r="F337" s="25"/>
      <c r="G337" s="12"/>
      <c r="J337" s="5"/>
      <c r="L337" s="376"/>
    </row>
    <row r="338" spans="2:12" s="3" customFormat="1" ht="11.25" customHeight="1" x14ac:dyDescent="0.2">
      <c r="B338" s="293"/>
      <c r="D338" s="21"/>
      <c r="E338" s="25"/>
      <c r="F338" s="25"/>
      <c r="G338" s="12"/>
      <c r="J338" s="5"/>
      <c r="L338" s="376"/>
    </row>
    <row r="339" spans="2:12" s="3" customFormat="1" ht="11.25" customHeight="1" x14ac:dyDescent="0.2">
      <c r="B339" s="293"/>
      <c r="D339" s="21"/>
      <c r="E339" s="25"/>
      <c r="F339" s="25"/>
      <c r="G339" s="12"/>
      <c r="J339" s="5"/>
      <c r="L339" s="376"/>
    </row>
    <row r="340" spans="2:12" s="3" customFormat="1" ht="11.25" customHeight="1" x14ac:dyDescent="0.2">
      <c r="B340" s="293"/>
      <c r="D340" s="21"/>
      <c r="E340" s="25"/>
      <c r="F340" s="25"/>
      <c r="G340" s="12"/>
      <c r="J340" s="5"/>
      <c r="L340" s="376"/>
    </row>
    <row r="341" spans="2:12" s="3" customFormat="1" ht="11.25" customHeight="1" x14ac:dyDescent="0.2">
      <c r="B341" s="293"/>
      <c r="D341" s="21"/>
      <c r="E341" s="25"/>
      <c r="F341" s="25"/>
      <c r="G341" s="12"/>
      <c r="J341" s="5"/>
      <c r="L341" s="376"/>
    </row>
    <row r="342" spans="2:12" s="3" customFormat="1" ht="11.25" customHeight="1" x14ac:dyDescent="0.2">
      <c r="B342" s="293"/>
      <c r="D342" s="21"/>
      <c r="E342" s="25"/>
      <c r="F342" s="25"/>
      <c r="G342" s="12"/>
      <c r="J342" s="5"/>
      <c r="L342" s="376"/>
    </row>
    <row r="343" spans="2:12" s="3" customFormat="1" ht="11.25" customHeight="1" x14ac:dyDescent="0.2">
      <c r="B343" s="293"/>
      <c r="D343" s="21"/>
      <c r="E343" s="25"/>
      <c r="F343" s="25"/>
      <c r="G343" s="12"/>
      <c r="J343" s="5"/>
      <c r="L343" s="376"/>
    </row>
    <row r="344" spans="2:12" s="3" customFormat="1" ht="11.25" customHeight="1" x14ac:dyDescent="0.2">
      <c r="B344" s="293"/>
      <c r="D344" s="21"/>
      <c r="E344" s="25"/>
      <c r="F344" s="25"/>
      <c r="G344" s="12"/>
      <c r="J344" s="5"/>
      <c r="L344" s="376"/>
    </row>
    <row r="345" spans="2:12" s="3" customFormat="1" ht="11.25" customHeight="1" x14ac:dyDescent="0.2">
      <c r="B345" s="293"/>
      <c r="D345" s="21"/>
      <c r="E345" s="25"/>
      <c r="F345" s="25"/>
      <c r="G345" s="12"/>
      <c r="J345" s="5"/>
      <c r="L345" s="376"/>
    </row>
    <row r="346" spans="2:12" s="3" customFormat="1" ht="11.25" customHeight="1" x14ac:dyDescent="0.2">
      <c r="B346" s="293"/>
      <c r="D346" s="21"/>
      <c r="E346" s="25"/>
      <c r="F346" s="25"/>
      <c r="G346" s="12"/>
      <c r="J346" s="5"/>
      <c r="L346" s="376"/>
    </row>
    <row r="347" spans="2:12" s="3" customFormat="1" ht="11.25" customHeight="1" x14ac:dyDescent="0.2">
      <c r="B347" s="293"/>
      <c r="D347" s="21"/>
      <c r="E347" s="25"/>
      <c r="F347" s="25"/>
      <c r="G347" s="12"/>
      <c r="J347" s="5"/>
      <c r="L347" s="376"/>
    </row>
    <row r="348" spans="2:12" s="3" customFormat="1" ht="11.25" customHeight="1" x14ac:dyDescent="0.2">
      <c r="B348" s="293"/>
      <c r="D348" s="21"/>
      <c r="E348" s="25"/>
      <c r="F348" s="25"/>
      <c r="G348" s="12"/>
      <c r="J348" s="5"/>
      <c r="L348" s="376"/>
    </row>
    <row r="349" spans="2:12" s="3" customFormat="1" ht="11.25" customHeight="1" x14ac:dyDescent="0.2">
      <c r="B349" s="293"/>
      <c r="D349" s="21"/>
      <c r="E349" s="25"/>
      <c r="F349" s="25"/>
      <c r="G349" s="12"/>
      <c r="J349" s="5"/>
      <c r="L349" s="376"/>
    </row>
    <row r="350" spans="2:12" s="3" customFormat="1" ht="11.25" customHeight="1" x14ac:dyDescent="0.2">
      <c r="B350" s="293"/>
      <c r="D350" s="21"/>
      <c r="E350" s="25"/>
      <c r="F350" s="25"/>
      <c r="G350" s="12"/>
      <c r="J350" s="5"/>
      <c r="L350" s="376"/>
    </row>
    <row r="351" spans="2:12" s="3" customFormat="1" ht="11.25" customHeight="1" x14ac:dyDescent="0.2">
      <c r="B351" s="293"/>
      <c r="D351" s="21"/>
      <c r="E351" s="25"/>
      <c r="F351" s="25"/>
      <c r="G351" s="12"/>
      <c r="J351" s="5"/>
      <c r="L351" s="376"/>
    </row>
    <row r="352" spans="2:12" s="3" customFormat="1" ht="11.25" customHeight="1" x14ac:dyDescent="0.2">
      <c r="B352" s="293"/>
      <c r="D352" s="21"/>
      <c r="E352" s="25"/>
      <c r="F352" s="25"/>
      <c r="G352" s="12"/>
      <c r="J352" s="5"/>
      <c r="L352" s="376"/>
    </row>
    <row r="353" spans="2:12" s="3" customFormat="1" ht="11.25" customHeight="1" x14ac:dyDescent="0.2">
      <c r="B353" s="293"/>
      <c r="D353" s="21"/>
      <c r="E353" s="25"/>
      <c r="F353" s="25"/>
      <c r="G353" s="12"/>
      <c r="J353" s="5"/>
      <c r="L353" s="376"/>
    </row>
    <row r="354" spans="2:12" s="3" customFormat="1" ht="11.25" customHeight="1" x14ac:dyDescent="0.2">
      <c r="B354" s="293"/>
      <c r="D354" s="21"/>
      <c r="E354" s="25"/>
      <c r="F354" s="25"/>
      <c r="G354" s="12"/>
      <c r="J354" s="5"/>
      <c r="L354" s="376"/>
    </row>
    <row r="355" spans="2:12" s="3" customFormat="1" ht="11.25" customHeight="1" x14ac:dyDescent="0.2">
      <c r="B355" s="293"/>
      <c r="D355" s="21"/>
      <c r="E355" s="25"/>
      <c r="F355" s="25"/>
      <c r="G355" s="12"/>
      <c r="J355" s="5"/>
      <c r="L355" s="376"/>
    </row>
    <row r="356" spans="2:12" s="3" customFormat="1" ht="11.25" customHeight="1" x14ac:dyDescent="0.2">
      <c r="B356" s="293"/>
      <c r="D356" s="21"/>
      <c r="E356" s="25"/>
      <c r="F356" s="25"/>
      <c r="G356" s="12"/>
      <c r="J356" s="5"/>
      <c r="L356" s="376"/>
    </row>
    <row r="357" spans="2:12" s="3" customFormat="1" ht="11.25" customHeight="1" x14ac:dyDescent="0.2">
      <c r="B357" s="293"/>
      <c r="D357" s="21"/>
      <c r="E357" s="25"/>
      <c r="F357" s="25"/>
      <c r="G357" s="12"/>
      <c r="J357" s="5"/>
      <c r="L357" s="376"/>
    </row>
    <row r="358" spans="2:12" s="3" customFormat="1" ht="11.25" customHeight="1" x14ac:dyDescent="0.2">
      <c r="B358" s="293"/>
      <c r="D358" s="21"/>
      <c r="E358" s="25"/>
      <c r="F358" s="25"/>
      <c r="G358" s="12"/>
      <c r="J358" s="5"/>
      <c r="L358" s="376"/>
    </row>
    <row r="359" spans="2:12" s="3" customFormat="1" ht="11.25" customHeight="1" x14ac:dyDescent="0.2">
      <c r="B359" s="293"/>
      <c r="D359" s="21"/>
      <c r="E359" s="25"/>
      <c r="F359" s="25"/>
      <c r="G359" s="12"/>
      <c r="J359" s="5"/>
      <c r="L359" s="376"/>
    </row>
    <row r="360" spans="2:12" s="3" customFormat="1" ht="11.25" customHeight="1" x14ac:dyDescent="0.2">
      <c r="B360" s="293"/>
      <c r="D360" s="21"/>
      <c r="E360" s="25"/>
      <c r="F360" s="25"/>
      <c r="G360" s="12"/>
      <c r="J360" s="5"/>
      <c r="L360" s="376"/>
    </row>
    <row r="361" spans="2:12" s="3" customFormat="1" ht="11.25" customHeight="1" x14ac:dyDescent="0.2">
      <c r="B361" s="293"/>
      <c r="D361" s="21"/>
      <c r="E361" s="25"/>
      <c r="F361" s="25"/>
      <c r="G361" s="12"/>
      <c r="J361" s="5"/>
      <c r="L361" s="376"/>
    </row>
    <row r="362" spans="2:12" s="3" customFormat="1" ht="11.25" customHeight="1" x14ac:dyDescent="0.2">
      <c r="B362" s="293"/>
      <c r="D362" s="21"/>
      <c r="E362" s="25"/>
      <c r="F362" s="25"/>
      <c r="G362" s="12"/>
      <c r="J362" s="5"/>
      <c r="L362" s="376"/>
    </row>
    <row r="363" spans="2:12" s="3" customFormat="1" ht="11.25" customHeight="1" x14ac:dyDescent="0.2">
      <c r="B363" s="293"/>
      <c r="D363" s="21"/>
      <c r="E363" s="25"/>
      <c r="F363" s="25"/>
      <c r="G363" s="12"/>
      <c r="J363" s="5"/>
      <c r="L363" s="376"/>
    </row>
    <row r="364" spans="2:12" s="3" customFormat="1" ht="11.25" customHeight="1" x14ac:dyDescent="0.2">
      <c r="B364" s="293"/>
      <c r="D364" s="21"/>
      <c r="E364" s="25"/>
      <c r="F364" s="25"/>
      <c r="G364" s="12"/>
      <c r="J364" s="5"/>
      <c r="L364" s="376"/>
    </row>
    <row r="365" spans="2:12" s="3" customFormat="1" ht="11.25" customHeight="1" x14ac:dyDescent="0.2">
      <c r="B365" s="293"/>
      <c r="D365" s="21"/>
      <c r="E365" s="25"/>
      <c r="F365" s="25"/>
      <c r="G365" s="12"/>
      <c r="J365" s="5"/>
      <c r="L365" s="376"/>
    </row>
    <row r="366" spans="2:12" s="3" customFormat="1" ht="11.25" customHeight="1" x14ac:dyDescent="0.2">
      <c r="B366" s="293"/>
      <c r="D366" s="21"/>
      <c r="E366" s="25"/>
      <c r="F366" s="25"/>
      <c r="G366" s="12"/>
      <c r="J366" s="5"/>
      <c r="L366" s="376"/>
    </row>
    <row r="367" spans="2:12" s="3" customFormat="1" ht="11.25" customHeight="1" x14ac:dyDescent="0.2">
      <c r="B367" s="293"/>
      <c r="D367" s="21"/>
      <c r="E367" s="25"/>
      <c r="F367" s="25"/>
      <c r="G367" s="12"/>
      <c r="J367" s="5"/>
      <c r="L367" s="376"/>
    </row>
    <row r="368" spans="2:12" s="3" customFormat="1" ht="11.25" customHeight="1" x14ac:dyDescent="0.2">
      <c r="B368" s="293"/>
      <c r="D368" s="21"/>
      <c r="E368" s="25"/>
      <c r="F368" s="25"/>
      <c r="G368" s="12"/>
      <c r="J368" s="5"/>
      <c r="L368" s="376"/>
    </row>
    <row r="369" spans="2:12" s="3" customFormat="1" ht="11.25" customHeight="1" x14ac:dyDescent="0.2">
      <c r="B369" s="293"/>
      <c r="D369" s="21"/>
      <c r="E369" s="25"/>
      <c r="F369" s="25"/>
      <c r="G369" s="12"/>
      <c r="J369" s="5"/>
      <c r="L369" s="376"/>
    </row>
    <row r="370" spans="2:12" s="3" customFormat="1" ht="11.25" customHeight="1" x14ac:dyDescent="0.2">
      <c r="B370" s="293"/>
      <c r="D370" s="21"/>
      <c r="E370" s="25"/>
      <c r="F370" s="25"/>
      <c r="G370" s="12"/>
      <c r="J370" s="5"/>
      <c r="L370" s="376"/>
    </row>
    <row r="371" spans="2:12" s="3" customFormat="1" ht="11.25" customHeight="1" x14ac:dyDescent="0.2">
      <c r="B371" s="293"/>
      <c r="D371" s="21"/>
      <c r="E371" s="25"/>
      <c r="F371" s="25"/>
      <c r="G371" s="12"/>
      <c r="J371" s="5"/>
      <c r="L371" s="376"/>
    </row>
    <row r="372" spans="2:12" s="3" customFormat="1" ht="11.25" customHeight="1" x14ac:dyDescent="0.2">
      <c r="B372" s="293"/>
      <c r="D372" s="21"/>
      <c r="E372" s="25"/>
      <c r="F372" s="25"/>
      <c r="G372" s="12"/>
      <c r="J372" s="5"/>
      <c r="L372" s="376"/>
    </row>
    <row r="373" spans="2:12" s="3" customFormat="1" ht="11.25" customHeight="1" x14ac:dyDescent="0.2">
      <c r="B373" s="293"/>
      <c r="D373" s="21"/>
      <c r="E373" s="25"/>
      <c r="F373" s="25"/>
      <c r="G373" s="12"/>
      <c r="J373" s="5"/>
      <c r="L373" s="376"/>
    </row>
    <row r="374" spans="2:12" s="3" customFormat="1" ht="11.25" customHeight="1" x14ac:dyDescent="0.2">
      <c r="B374" s="293"/>
      <c r="D374" s="21"/>
      <c r="E374" s="25"/>
      <c r="F374" s="25"/>
      <c r="G374" s="12"/>
      <c r="J374" s="5"/>
      <c r="L374" s="376"/>
    </row>
    <row r="375" spans="2:12" s="3" customFormat="1" ht="11.25" customHeight="1" x14ac:dyDescent="0.2">
      <c r="B375" s="293"/>
      <c r="D375" s="21"/>
      <c r="E375" s="25"/>
      <c r="F375" s="25"/>
      <c r="G375" s="12"/>
      <c r="J375" s="5"/>
      <c r="L375" s="376"/>
    </row>
    <row r="376" spans="2:12" s="3" customFormat="1" ht="11.25" customHeight="1" x14ac:dyDescent="0.2">
      <c r="B376" s="293"/>
      <c r="D376" s="21"/>
      <c r="E376" s="25"/>
      <c r="F376" s="25"/>
      <c r="G376" s="12"/>
      <c r="J376" s="5"/>
      <c r="L376" s="376"/>
    </row>
    <row r="377" spans="2:12" s="3" customFormat="1" ht="11.25" customHeight="1" x14ac:dyDescent="0.2">
      <c r="B377" s="293"/>
      <c r="D377" s="21"/>
      <c r="E377" s="25"/>
      <c r="F377" s="25"/>
      <c r="G377" s="12"/>
      <c r="J377" s="5"/>
      <c r="L377" s="376"/>
    </row>
    <row r="378" spans="2:12" s="3" customFormat="1" ht="11.25" customHeight="1" x14ac:dyDescent="0.2">
      <c r="B378" s="293"/>
      <c r="D378" s="21"/>
      <c r="E378" s="25"/>
      <c r="F378" s="25"/>
      <c r="G378" s="12"/>
      <c r="J378" s="5"/>
      <c r="L378" s="376"/>
    </row>
    <row r="379" spans="2:12" s="3" customFormat="1" ht="11.25" customHeight="1" x14ac:dyDescent="0.2">
      <c r="B379" s="293"/>
      <c r="D379" s="21"/>
      <c r="E379" s="25"/>
      <c r="F379" s="25"/>
      <c r="G379" s="12"/>
      <c r="J379" s="5"/>
      <c r="L379" s="376"/>
    </row>
    <row r="380" spans="2:12" s="3" customFormat="1" ht="11.25" customHeight="1" x14ac:dyDescent="0.2">
      <c r="B380" s="293"/>
      <c r="D380" s="21"/>
      <c r="E380" s="25"/>
      <c r="F380" s="25"/>
      <c r="G380" s="12"/>
      <c r="J380" s="5"/>
      <c r="L380" s="376"/>
    </row>
    <row r="381" spans="2:12" s="3" customFormat="1" ht="11.25" customHeight="1" x14ac:dyDescent="0.2">
      <c r="B381" s="293"/>
      <c r="D381" s="21"/>
      <c r="E381" s="25"/>
      <c r="F381" s="25"/>
      <c r="G381" s="12"/>
      <c r="J381" s="5"/>
      <c r="L381" s="376"/>
    </row>
    <row r="382" spans="2:12" s="3" customFormat="1" ht="11.25" customHeight="1" x14ac:dyDescent="0.2">
      <c r="B382" s="293"/>
      <c r="D382" s="21"/>
      <c r="E382" s="25"/>
      <c r="F382" s="25"/>
      <c r="G382" s="12"/>
      <c r="J382" s="5"/>
      <c r="L382" s="376"/>
    </row>
    <row r="383" spans="2:12" s="3" customFormat="1" ht="11.25" customHeight="1" x14ac:dyDescent="0.2">
      <c r="B383" s="293"/>
      <c r="D383" s="21"/>
      <c r="E383" s="25"/>
      <c r="F383" s="25"/>
      <c r="G383" s="12"/>
      <c r="J383" s="5"/>
      <c r="L383" s="376"/>
    </row>
    <row r="384" spans="2:12" s="3" customFormat="1" ht="11.25" customHeight="1" x14ac:dyDescent="0.2">
      <c r="B384" s="293"/>
      <c r="D384" s="21"/>
      <c r="E384" s="25"/>
      <c r="F384" s="25"/>
      <c r="G384" s="12"/>
      <c r="J384" s="5"/>
      <c r="L384" s="376"/>
    </row>
    <row r="385" spans="2:12" s="3" customFormat="1" ht="11.25" customHeight="1" x14ac:dyDescent="0.2">
      <c r="B385" s="293"/>
      <c r="D385" s="21"/>
      <c r="E385" s="25"/>
      <c r="F385" s="25"/>
      <c r="G385" s="12"/>
      <c r="J385" s="5"/>
      <c r="L385" s="376"/>
    </row>
    <row r="386" spans="2:12" s="3" customFormat="1" ht="11.25" customHeight="1" x14ac:dyDescent="0.2">
      <c r="B386" s="293"/>
      <c r="D386" s="21"/>
      <c r="E386" s="25"/>
      <c r="F386" s="25"/>
      <c r="G386" s="12"/>
      <c r="J386" s="5"/>
      <c r="L386" s="376"/>
    </row>
    <row r="387" spans="2:12" s="3" customFormat="1" ht="11.25" customHeight="1" x14ac:dyDescent="0.2">
      <c r="B387" s="293"/>
      <c r="D387" s="21"/>
      <c r="E387" s="25"/>
      <c r="F387" s="25"/>
      <c r="G387" s="12"/>
      <c r="J387" s="5"/>
      <c r="L387" s="376"/>
    </row>
    <row r="388" spans="2:12" s="3" customFormat="1" ht="11.25" customHeight="1" x14ac:dyDescent="0.2">
      <c r="B388" s="293"/>
      <c r="D388" s="21"/>
      <c r="E388" s="25"/>
      <c r="F388" s="25"/>
      <c r="G388" s="12"/>
      <c r="J388" s="5"/>
      <c r="L388" s="376"/>
    </row>
    <row r="389" spans="2:12" s="3" customFormat="1" ht="11.25" customHeight="1" x14ac:dyDescent="0.2">
      <c r="B389" s="293"/>
      <c r="D389" s="21"/>
      <c r="E389" s="25"/>
      <c r="F389" s="25"/>
      <c r="G389" s="12"/>
      <c r="J389" s="5"/>
      <c r="L389" s="376"/>
    </row>
    <row r="390" spans="2:12" s="3" customFormat="1" ht="11.25" customHeight="1" x14ac:dyDescent="0.2">
      <c r="B390" s="293"/>
      <c r="D390" s="21"/>
      <c r="E390" s="25"/>
      <c r="F390" s="25"/>
      <c r="G390" s="12"/>
      <c r="J390" s="5"/>
      <c r="L390" s="376"/>
    </row>
    <row r="391" spans="2:12" s="3" customFormat="1" ht="11.25" customHeight="1" x14ac:dyDescent="0.2">
      <c r="B391" s="293"/>
      <c r="D391" s="21"/>
      <c r="E391" s="25"/>
      <c r="F391" s="25"/>
      <c r="G391" s="12"/>
      <c r="J391" s="5"/>
      <c r="L391" s="376"/>
    </row>
    <row r="392" spans="2:12" s="3" customFormat="1" ht="11.25" customHeight="1" x14ac:dyDescent="0.2">
      <c r="B392" s="293"/>
      <c r="D392" s="21"/>
      <c r="E392" s="25"/>
      <c r="F392" s="25"/>
      <c r="G392" s="12"/>
      <c r="J392" s="5"/>
      <c r="L392" s="376"/>
    </row>
    <row r="393" spans="2:12" s="3" customFormat="1" ht="11.25" customHeight="1" x14ac:dyDescent="0.2">
      <c r="B393" s="293"/>
      <c r="D393" s="21"/>
      <c r="E393" s="25"/>
      <c r="F393" s="25"/>
      <c r="G393" s="12"/>
      <c r="J393" s="5"/>
      <c r="L393" s="376"/>
    </row>
    <row r="394" spans="2:12" s="3" customFormat="1" ht="11.25" customHeight="1" x14ac:dyDescent="0.2">
      <c r="B394" s="293"/>
      <c r="D394" s="21"/>
      <c r="E394" s="25"/>
      <c r="F394" s="25"/>
      <c r="G394" s="12"/>
      <c r="J394" s="5"/>
      <c r="L394" s="376"/>
    </row>
    <row r="395" spans="2:12" s="3" customFormat="1" ht="11.25" customHeight="1" x14ac:dyDescent="0.2">
      <c r="B395" s="293"/>
      <c r="D395" s="21"/>
      <c r="E395" s="25"/>
      <c r="F395" s="25"/>
      <c r="G395" s="12"/>
      <c r="J395" s="5"/>
      <c r="L395" s="376"/>
    </row>
    <row r="396" spans="2:12" s="3" customFormat="1" ht="11.25" customHeight="1" x14ac:dyDescent="0.2">
      <c r="B396" s="293"/>
      <c r="D396" s="21"/>
      <c r="E396" s="25"/>
      <c r="F396" s="25"/>
      <c r="G396" s="12"/>
      <c r="J396" s="5"/>
      <c r="L396" s="376"/>
    </row>
    <row r="397" spans="2:12" s="3" customFormat="1" ht="11.25" customHeight="1" x14ac:dyDescent="0.2">
      <c r="B397" s="293"/>
      <c r="D397" s="21"/>
      <c r="E397" s="25"/>
      <c r="F397" s="25"/>
      <c r="G397" s="12"/>
      <c r="J397" s="5"/>
      <c r="L397" s="376"/>
    </row>
    <row r="398" spans="2:12" s="3" customFormat="1" ht="11.25" customHeight="1" x14ac:dyDescent="0.2">
      <c r="B398" s="293"/>
      <c r="D398" s="21"/>
      <c r="E398" s="25"/>
      <c r="F398" s="25"/>
      <c r="G398" s="12"/>
      <c r="J398" s="5"/>
      <c r="L398" s="376"/>
    </row>
    <row r="399" spans="2:12" s="3" customFormat="1" ht="11.25" customHeight="1" x14ac:dyDescent="0.2">
      <c r="B399" s="293"/>
      <c r="D399" s="21"/>
      <c r="E399" s="25"/>
      <c r="F399" s="25"/>
      <c r="G399" s="12"/>
      <c r="J399" s="5"/>
      <c r="L399" s="376"/>
    </row>
    <row r="400" spans="2:12" s="3" customFormat="1" ht="11.25" customHeight="1" x14ac:dyDescent="0.2">
      <c r="B400" s="293"/>
      <c r="D400" s="21"/>
      <c r="E400" s="25"/>
      <c r="F400" s="25"/>
      <c r="G400" s="12"/>
      <c r="J400" s="5"/>
      <c r="L400" s="376"/>
    </row>
    <row r="401" spans="2:12" s="3" customFormat="1" ht="11.25" customHeight="1" x14ac:dyDescent="0.2">
      <c r="B401" s="293"/>
      <c r="D401" s="21"/>
      <c r="E401" s="25"/>
      <c r="F401" s="25"/>
      <c r="G401" s="12"/>
      <c r="J401" s="5"/>
      <c r="L401" s="376"/>
    </row>
    <row r="402" spans="2:12" s="3" customFormat="1" ht="11.25" customHeight="1" x14ac:dyDescent="0.2">
      <c r="B402" s="293"/>
      <c r="D402" s="21"/>
      <c r="E402" s="25"/>
      <c r="F402" s="25"/>
      <c r="G402" s="12"/>
      <c r="J402" s="5"/>
      <c r="L402" s="376"/>
    </row>
    <row r="403" spans="2:12" s="3" customFormat="1" ht="11.25" customHeight="1" x14ac:dyDescent="0.2">
      <c r="B403" s="293"/>
      <c r="D403" s="21"/>
      <c r="E403" s="25"/>
      <c r="F403" s="25"/>
      <c r="G403" s="12"/>
      <c r="J403" s="5"/>
      <c r="L403" s="376"/>
    </row>
    <row r="404" spans="2:12" s="3" customFormat="1" ht="11.25" customHeight="1" x14ac:dyDescent="0.2">
      <c r="B404" s="293"/>
      <c r="D404" s="21"/>
      <c r="E404" s="25"/>
      <c r="F404" s="25"/>
      <c r="G404" s="12"/>
      <c r="J404" s="5"/>
      <c r="L404" s="376"/>
    </row>
    <row r="405" spans="2:12" s="3" customFormat="1" ht="11.25" customHeight="1" x14ac:dyDescent="0.2">
      <c r="B405" s="293"/>
      <c r="D405" s="21"/>
      <c r="E405" s="25"/>
      <c r="F405" s="25"/>
      <c r="G405" s="12"/>
      <c r="J405" s="5"/>
      <c r="L405" s="376"/>
    </row>
    <row r="406" spans="2:12" s="3" customFormat="1" ht="11.25" customHeight="1" x14ac:dyDescent="0.2">
      <c r="B406" s="293"/>
      <c r="D406" s="21"/>
      <c r="E406" s="25"/>
      <c r="F406" s="25"/>
      <c r="G406" s="12"/>
      <c r="J406" s="5"/>
      <c r="L406" s="376"/>
    </row>
    <row r="407" spans="2:12" s="3" customFormat="1" ht="11.25" customHeight="1" x14ac:dyDescent="0.2">
      <c r="B407" s="293"/>
      <c r="D407" s="21"/>
      <c r="E407" s="25"/>
      <c r="F407" s="25"/>
      <c r="G407" s="12"/>
      <c r="J407" s="5"/>
      <c r="L407" s="376"/>
    </row>
    <row r="408" spans="2:12" s="3" customFormat="1" ht="11.25" customHeight="1" x14ac:dyDescent="0.2">
      <c r="B408" s="293"/>
      <c r="D408" s="21"/>
      <c r="E408" s="25"/>
      <c r="F408" s="25"/>
      <c r="G408" s="12"/>
      <c r="J408" s="5"/>
      <c r="L408" s="376"/>
    </row>
    <row r="409" spans="2:12" s="3" customFormat="1" ht="11.25" customHeight="1" x14ac:dyDescent="0.2">
      <c r="B409" s="293"/>
      <c r="D409" s="21"/>
      <c r="E409" s="25"/>
      <c r="F409" s="25"/>
      <c r="G409" s="12"/>
      <c r="J409" s="5"/>
      <c r="L409" s="376"/>
    </row>
    <row r="410" spans="2:12" s="3" customFormat="1" ht="11.25" customHeight="1" x14ac:dyDescent="0.2">
      <c r="B410" s="293"/>
      <c r="D410" s="21"/>
      <c r="E410" s="25"/>
      <c r="F410" s="25"/>
      <c r="G410" s="12"/>
      <c r="J410" s="5"/>
      <c r="L410" s="376"/>
    </row>
    <row r="411" spans="2:12" s="3" customFormat="1" ht="11.25" customHeight="1" x14ac:dyDescent="0.2">
      <c r="B411" s="293"/>
      <c r="D411" s="21"/>
      <c r="E411" s="25"/>
      <c r="F411" s="25"/>
      <c r="G411" s="12"/>
      <c r="J411" s="5"/>
      <c r="L411" s="376"/>
    </row>
    <row r="412" spans="2:12" s="3" customFormat="1" ht="11.25" customHeight="1" x14ac:dyDescent="0.2">
      <c r="B412" s="293"/>
      <c r="D412" s="21"/>
      <c r="E412" s="25"/>
      <c r="F412" s="25"/>
      <c r="G412" s="12"/>
      <c r="J412" s="5"/>
      <c r="L412" s="376"/>
    </row>
    <row r="413" spans="2:12" s="3" customFormat="1" ht="11.25" customHeight="1" x14ac:dyDescent="0.2">
      <c r="B413" s="293"/>
      <c r="D413" s="21"/>
      <c r="E413" s="25"/>
      <c r="F413" s="25"/>
      <c r="G413" s="12"/>
      <c r="J413" s="5"/>
      <c r="L413" s="376"/>
    </row>
    <row r="414" spans="2:12" s="3" customFormat="1" ht="11.25" customHeight="1" x14ac:dyDescent="0.2">
      <c r="B414" s="293"/>
      <c r="D414" s="21"/>
      <c r="E414" s="25"/>
      <c r="F414" s="25"/>
      <c r="G414" s="12"/>
      <c r="J414" s="5"/>
      <c r="L414" s="376"/>
    </row>
    <row r="415" spans="2:12" s="3" customFormat="1" ht="11.25" customHeight="1" x14ac:dyDescent="0.2">
      <c r="B415" s="293"/>
      <c r="D415" s="21"/>
      <c r="E415" s="25"/>
      <c r="F415" s="25"/>
      <c r="G415" s="12"/>
      <c r="J415" s="5"/>
      <c r="L415" s="376"/>
    </row>
    <row r="416" spans="2:12" s="3" customFormat="1" ht="11.25" customHeight="1" x14ac:dyDescent="0.2">
      <c r="B416" s="293"/>
      <c r="D416" s="21"/>
      <c r="E416" s="25"/>
      <c r="F416" s="25"/>
      <c r="G416" s="12"/>
      <c r="J416" s="5"/>
      <c r="L416" s="376"/>
    </row>
    <row r="417" spans="2:12" s="3" customFormat="1" ht="11.25" customHeight="1" x14ac:dyDescent="0.2">
      <c r="B417" s="293"/>
      <c r="D417" s="21"/>
      <c r="E417" s="25"/>
      <c r="F417" s="25"/>
      <c r="G417" s="12"/>
      <c r="J417" s="5"/>
      <c r="L417" s="376"/>
    </row>
    <row r="418" spans="2:12" s="3" customFormat="1" ht="11.25" customHeight="1" x14ac:dyDescent="0.2">
      <c r="B418" s="293"/>
      <c r="D418" s="21"/>
      <c r="E418" s="25"/>
      <c r="F418" s="25"/>
      <c r="G418" s="12"/>
      <c r="J418" s="5"/>
      <c r="L418" s="376"/>
    </row>
    <row r="419" spans="2:12" s="3" customFormat="1" ht="11.25" customHeight="1" x14ac:dyDescent="0.2">
      <c r="B419" s="293"/>
      <c r="D419" s="21"/>
      <c r="E419" s="25"/>
      <c r="F419" s="25"/>
      <c r="G419" s="12"/>
      <c r="J419" s="5"/>
      <c r="L419" s="376"/>
    </row>
    <row r="420" spans="2:12" s="3" customFormat="1" ht="11.25" customHeight="1" x14ac:dyDescent="0.2">
      <c r="B420" s="293"/>
      <c r="D420" s="21"/>
      <c r="E420" s="25"/>
      <c r="F420" s="25"/>
      <c r="G420" s="12"/>
      <c r="J420" s="5"/>
      <c r="L420" s="376"/>
    </row>
    <row r="421" spans="2:12" s="3" customFormat="1" ht="11.25" customHeight="1" x14ac:dyDescent="0.2">
      <c r="B421" s="293"/>
      <c r="D421" s="21"/>
      <c r="E421" s="25"/>
      <c r="F421" s="25"/>
      <c r="G421" s="12"/>
      <c r="J421" s="5"/>
      <c r="L421" s="376"/>
    </row>
    <row r="422" spans="2:12" s="3" customFormat="1" ht="11.25" customHeight="1" x14ac:dyDescent="0.2">
      <c r="B422" s="293"/>
      <c r="D422" s="21"/>
      <c r="E422" s="25"/>
      <c r="F422" s="25"/>
      <c r="G422" s="12"/>
      <c r="J422" s="5"/>
      <c r="L422" s="376"/>
    </row>
    <row r="423" spans="2:12" s="3" customFormat="1" ht="11.25" customHeight="1" x14ac:dyDescent="0.2">
      <c r="B423" s="293"/>
      <c r="D423" s="21"/>
      <c r="E423" s="25"/>
      <c r="F423" s="25"/>
      <c r="G423" s="12"/>
      <c r="J423" s="5"/>
      <c r="L423" s="376"/>
    </row>
    <row r="424" spans="2:12" s="3" customFormat="1" ht="11.25" customHeight="1" x14ac:dyDescent="0.2">
      <c r="B424" s="293"/>
      <c r="D424" s="21"/>
      <c r="E424" s="25"/>
      <c r="F424" s="25"/>
      <c r="G424" s="12"/>
      <c r="J424" s="5"/>
      <c r="L424" s="376"/>
    </row>
    <row r="425" spans="2:12" s="3" customFormat="1" ht="11.25" customHeight="1" x14ac:dyDescent="0.2">
      <c r="B425" s="293"/>
      <c r="D425" s="21"/>
      <c r="E425" s="25"/>
      <c r="F425" s="25"/>
      <c r="G425" s="12"/>
      <c r="J425" s="5"/>
      <c r="L425" s="376"/>
    </row>
    <row r="426" spans="2:12" s="3" customFormat="1" ht="11.25" customHeight="1" x14ac:dyDescent="0.2">
      <c r="B426" s="293"/>
      <c r="D426" s="21"/>
      <c r="E426" s="25"/>
      <c r="F426" s="25"/>
      <c r="G426" s="12"/>
      <c r="J426" s="5"/>
      <c r="L426" s="376"/>
    </row>
    <row r="427" spans="2:12" s="3" customFormat="1" ht="11.25" customHeight="1" x14ac:dyDescent="0.2">
      <c r="B427" s="293"/>
      <c r="D427" s="21"/>
      <c r="E427" s="25"/>
      <c r="F427" s="25"/>
      <c r="G427" s="12"/>
      <c r="J427" s="5"/>
      <c r="L427" s="376"/>
    </row>
    <row r="428" spans="2:12" s="3" customFormat="1" ht="11.25" customHeight="1" x14ac:dyDescent="0.2">
      <c r="B428" s="293"/>
      <c r="D428" s="21"/>
      <c r="E428" s="25"/>
      <c r="F428" s="25"/>
      <c r="G428" s="12"/>
      <c r="J428" s="5"/>
      <c r="L428" s="376"/>
    </row>
    <row r="429" spans="2:12" s="3" customFormat="1" ht="11.25" customHeight="1" x14ac:dyDescent="0.2">
      <c r="B429" s="293"/>
      <c r="D429" s="21"/>
      <c r="E429" s="25"/>
      <c r="F429" s="25"/>
      <c r="G429" s="12"/>
      <c r="J429" s="5"/>
      <c r="L429" s="376"/>
    </row>
    <row r="430" spans="2:12" s="3" customFormat="1" ht="11.25" customHeight="1" x14ac:dyDescent="0.2">
      <c r="B430" s="293"/>
      <c r="D430" s="21"/>
      <c r="E430" s="25"/>
      <c r="F430" s="25"/>
      <c r="G430" s="12"/>
      <c r="J430" s="5"/>
      <c r="L430" s="376"/>
    </row>
    <row r="431" spans="2:12" s="3" customFormat="1" ht="11.25" customHeight="1" x14ac:dyDescent="0.2">
      <c r="B431" s="293"/>
      <c r="D431" s="21"/>
      <c r="E431" s="25"/>
      <c r="F431" s="25"/>
      <c r="G431" s="12"/>
      <c r="J431" s="5"/>
      <c r="L431" s="376"/>
    </row>
    <row r="432" spans="2:12" s="3" customFormat="1" ht="11.25" customHeight="1" x14ac:dyDescent="0.2">
      <c r="B432" s="293"/>
      <c r="D432" s="21"/>
      <c r="E432" s="25"/>
      <c r="F432" s="25"/>
      <c r="G432" s="12"/>
      <c r="J432" s="5"/>
      <c r="L432" s="376"/>
    </row>
    <row r="433" spans="2:12" s="3" customFormat="1" ht="11.25" customHeight="1" x14ac:dyDescent="0.2">
      <c r="B433" s="293"/>
      <c r="D433" s="21"/>
      <c r="E433" s="25"/>
      <c r="F433" s="25"/>
      <c r="G433" s="12"/>
      <c r="J433" s="5"/>
      <c r="L433" s="376"/>
    </row>
    <row r="434" spans="2:12" s="3" customFormat="1" ht="11.25" customHeight="1" x14ac:dyDescent="0.2">
      <c r="B434" s="293"/>
      <c r="D434" s="21"/>
      <c r="E434" s="25"/>
      <c r="F434" s="25"/>
      <c r="G434" s="12"/>
      <c r="J434" s="5"/>
      <c r="L434" s="376"/>
    </row>
    <row r="435" spans="2:12" s="3" customFormat="1" ht="11.25" customHeight="1" x14ac:dyDescent="0.2">
      <c r="B435" s="293"/>
      <c r="D435" s="21"/>
      <c r="E435" s="25"/>
      <c r="F435" s="25"/>
      <c r="G435" s="12"/>
      <c r="J435" s="5"/>
      <c r="L435" s="376"/>
    </row>
    <row r="436" spans="2:12" s="3" customFormat="1" ht="11.25" customHeight="1" x14ac:dyDescent="0.2">
      <c r="B436" s="293"/>
      <c r="D436" s="21"/>
      <c r="E436" s="25"/>
      <c r="F436" s="25"/>
      <c r="G436" s="12"/>
      <c r="J436" s="5"/>
      <c r="L436" s="376"/>
    </row>
    <row r="437" spans="2:12" s="3" customFormat="1" ht="11.25" customHeight="1" x14ac:dyDescent="0.2">
      <c r="B437" s="293"/>
      <c r="D437" s="21"/>
      <c r="E437" s="25"/>
      <c r="F437" s="25"/>
      <c r="G437" s="12"/>
      <c r="J437" s="5"/>
      <c r="L437" s="376"/>
    </row>
    <row r="438" spans="2:12" s="3" customFormat="1" ht="11.25" customHeight="1" x14ac:dyDescent="0.2">
      <c r="B438" s="293"/>
      <c r="D438" s="21"/>
      <c r="E438" s="25"/>
      <c r="F438" s="25"/>
      <c r="G438" s="12"/>
      <c r="J438" s="5"/>
      <c r="L438" s="376"/>
    </row>
    <row r="439" spans="2:12" s="3" customFormat="1" ht="11.25" customHeight="1" x14ac:dyDescent="0.2">
      <c r="B439" s="293"/>
      <c r="D439" s="21"/>
      <c r="E439" s="25"/>
      <c r="F439" s="25"/>
      <c r="G439" s="12"/>
      <c r="J439" s="5"/>
      <c r="L439" s="376"/>
    </row>
    <row r="440" spans="2:12" s="3" customFormat="1" ht="11.25" customHeight="1" x14ac:dyDescent="0.2">
      <c r="B440" s="293"/>
      <c r="D440" s="21"/>
      <c r="E440" s="25"/>
      <c r="F440" s="25"/>
      <c r="G440" s="12"/>
      <c r="J440" s="5"/>
      <c r="L440" s="376"/>
    </row>
    <row r="441" spans="2:12" s="3" customFormat="1" ht="11.25" customHeight="1" x14ac:dyDescent="0.2">
      <c r="B441" s="293"/>
      <c r="D441" s="21"/>
      <c r="E441" s="25"/>
      <c r="F441" s="25"/>
      <c r="G441" s="12"/>
      <c r="J441" s="5"/>
      <c r="L441" s="376"/>
    </row>
    <row r="442" spans="2:12" s="3" customFormat="1" ht="11.25" customHeight="1" x14ac:dyDescent="0.2">
      <c r="B442" s="293"/>
      <c r="D442" s="21"/>
      <c r="E442" s="25"/>
      <c r="F442" s="25"/>
      <c r="G442" s="12"/>
      <c r="J442" s="5"/>
      <c r="L442" s="376"/>
    </row>
    <row r="443" spans="2:12" s="3" customFormat="1" ht="11.25" customHeight="1" x14ac:dyDescent="0.2">
      <c r="B443" s="293"/>
      <c r="D443" s="21"/>
      <c r="E443" s="25"/>
      <c r="F443" s="25"/>
      <c r="G443" s="12"/>
      <c r="J443" s="5"/>
      <c r="L443" s="376"/>
    </row>
    <row r="444" spans="2:12" s="3" customFormat="1" ht="11.25" customHeight="1" x14ac:dyDescent="0.2">
      <c r="B444" s="293"/>
      <c r="D444" s="21"/>
      <c r="E444" s="25"/>
      <c r="F444" s="25"/>
      <c r="G444" s="12"/>
      <c r="J444" s="5"/>
      <c r="L444" s="376"/>
    </row>
    <row r="445" spans="2:12" s="3" customFormat="1" ht="11.25" customHeight="1" x14ac:dyDescent="0.2">
      <c r="B445" s="293"/>
      <c r="D445" s="21"/>
      <c r="E445" s="25"/>
      <c r="F445" s="25"/>
      <c r="G445" s="12"/>
      <c r="J445" s="5"/>
      <c r="L445" s="376"/>
    </row>
    <row r="446" spans="2:12" s="3" customFormat="1" ht="11.25" customHeight="1" x14ac:dyDescent="0.2">
      <c r="B446" s="293"/>
      <c r="D446" s="21"/>
      <c r="E446" s="25"/>
      <c r="F446" s="25"/>
      <c r="G446" s="12"/>
      <c r="J446" s="5"/>
      <c r="L446" s="376"/>
    </row>
    <row r="447" spans="2:12" s="3" customFormat="1" ht="11.25" customHeight="1" x14ac:dyDescent="0.2">
      <c r="B447" s="293"/>
      <c r="D447" s="21"/>
      <c r="E447" s="25"/>
      <c r="F447" s="25"/>
      <c r="G447" s="12"/>
      <c r="J447" s="5"/>
      <c r="L447" s="376"/>
    </row>
    <row r="448" spans="2:12" s="3" customFormat="1" ht="11.25" customHeight="1" x14ac:dyDescent="0.2">
      <c r="B448" s="293"/>
      <c r="D448" s="21"/>
      <c r="E448" s="25"/>
      <c r="F448" s="25"/>
      <c r="G448" s="12"/>
      <c r="J448" s="5"/>
      <c r="L448" s="376"/>
    </row>
    <row r="449" spans="2:12" s="3" customFormat="1" ht="11.25" customHeight="1" x14ac:dyDescent="0.2">
      <c r="B449" s="293"/>
      <c r="D449" s="21"/>
      <c r="E449" s="25"/>
      <c r="F449" s="25"/>
      <c r="G449" s="12"/>
      <c r="J449" s="5"/>
      <c r="L449" s="376"/>
    </row>
    <row r="450" spans="2:12" s="3" customFormat="1" ht="11.25" customHeight="1" x14ac:dyDescent="0.2">
      <c r="B450" s="293"/>
      <c r="D450" s="21"/>
      <c r="E450" s="25"/>
      <c r="F450" s="25"/>
      <c r="G450" s="12"/>
      <c r="J450" s="5"/>
      <c r="L450" s="376"/>
    </row>
    <row r="451" spans="2:12" s="3" customFormat="1" ht="11.25" customHeight="1" x14ac:dyDescent="0.2">
      <c r="B451" s="293"/>
      <c r="D451" s="21"/>
      <c r="E451" s="25"/>
      <c r="F451" s="25"/>
      <c r="G451" s="12"/>
      <c r="J451" s="5"/>
      <c r="L451" s="376"/>
    </row>
    <row r="452" spans="2:12" s="3" customFormat="1" ht="11.25" customHeight="1" x14ac:dyDescent="0.2">
      <c r="B452" s="293"/>
      <c r="D452" s="21"/>
      <c r="E452" s="25"/>
      <c r="F452" s="25"/>
      <c r="G452" s="12"/>
      <c r="J452" s="5"/>
      <c r="L452" s="376"/>
    </row>
    <row r="453" spans="2:12" s="3" customFormat="1" ht="11.25" customHeight="1" x14ac:dyDescent="0.2">
      <c r="B453" s="293"/>
      <c r="D453" s="21"/>
      <c r="E453" s="25"/>
      <c r="F453" s="25"/>
      <c r="G453" s="12"/>
      <c r="J453" s="5"/>
      <c r="L453" s="376"/>
    </row>
    <row r="454" spans="2:12" s="3" customFormat="1" ht="11.25" customHeight="1" x14ac:dyDescent="0.2">
      <c r="B454" s="293"/>
      <c r="D454" s="21"/>
      <c r="E454" s="25"/>
      <c r="F454" s="25"/>
      <c r="G454" s="12"/>
      <c r="J454" s="5"/>
      <c r="L454" s="376"/>
    </row>
    <row r="455" spans="2:12" s="3" customFormat="1" ht="11.25" customHeight="1" x14ac:dyDescent="0.2">
      <c r="B455" s="293"/>
      <c r="D455" s="21"/>
      <c r="E455" s="25"/>
      <c r="F455" s="25"/>
      <c r="G455" s="12"/>
      <c r="J455" s="5"/>
      <c r="L455" s="376"/>
    </row>
    <row r="456" spans="2:12" s="3" customFormat="1" ht="11.25" customHeight="1" x14ac:dyDescent="0.2">
      <c r="B456" s="293"/>
      <c r="D456" s="21"/>
      <c r="E456" s="25"/>
      <c r="F456" s="25"/>
      <c r="G456" s="12"/>
      <c r="J456" s="5"/>
      <c r="L456" s="376"/>
    </row>
    <row r="457" spans="2:12" s="3" customFormat="1" ht="11.25" customHeight="1" x14ac:dyDescent="0.2">
      <c r="B457" s="293"/>
      <c r="D457" s="21"/>
      <c r="E457" s="25"/>
      <c r="F457" s="25"/>
      <c r="G457" s="12"/>
      <c r="J457" s="5"/>
      <c r="L457" s="376"/>
    </row>
    <row r="458" spans="2:12" s="3" customFormat="1" ht="11.25" customHeight="1" x14ac:dyDescent="0.2">
      <c r="B458" s="293"/>
      <c r="D458" s="21"/>
      <c r="E458" s="25"/>
      <c r="F458" s="25"/>
      <c r="G458" s="12"/>
      <c r="J458" s="5"/>
      <c r="L458" s="376"/>
    </row>
    <row r="459" spans="2:12" s="3" customFormat="1" ht="11.25" customHeight="1" x14ac:dyDescent="0.2">
      <c r="B459" s="293"/>
      <c r="D459" s="21"/>
      <c r="E459" s="25"/>
      <c r="F459" s="25"/>
      <c r="G459" s="12"/>
      <c r="J459" s="5"/>
      <c r="L459" s="376"/>
    </row>
    <row r="460" spans="2:12" s="3" customFormat="1" ht="11.25" customHeight="1" x14ac:dyDescent="0.2">
      <c r="B460" s="293"/>
      <c r="D460" s="21"/>
      <c r="E460" s="25"/>
      <c r="F460" s="25"/>
      <c r="G460" s="12"/>
      <c r="J460" s="5"/>
      <c r="L460" s="376"/>
    </row>
    <row r="461" spans="2:12" s="3" customFormat="1" ht="11.25" customHeight="1" x14ac:dyDescent="0.2">
      <c r="B461" s="293"/>
      <c r="D461" s="21"/>
      <c r="E461" s="25"/>
      <c r="F461" s="25"/>
      <c r="G461" s="12"/>
      <c r="J461" s="5"/>
      <c r="L461" s="376"/>
    </row>
    <row r="462" spans="2:12" s="3" customFormat="1" ht="11.25" customHeight="1" x14ac:dyDescent="0.2">
      <c r="B462" s="293"/>
      <c r="D462" s="21"/>
      <c r="E462" s="25"/>
      <c r="F462" s="25"/>
      <c r="G462" s="12"/>
      <c r="J462" s="5"/>
      <c r="L462" s="376"/>
    </row>
    <row r="463" spans="2:12" s="3" customFormat="1" ht="11.25" customHeight="1" x14ac:dyDescent="0.2">
      <c r="B463" s="293"/>
      <c r="D463" s="21"/>
      <c r="E463" s="25"/>
      <c r="F463" s="25"/>
      <c r="G463" s="12"/>
      <c r="J463" s="5"/>
      <c r="L463" s="376"/>
    </row>
    <row r="464" spans="2:12" s="3" customFormat="1" ht="11.25" customHeight="1" x14ac:dyDescent="0.2">
      <c r="B464" s="293"/>
      <c r="D464" s="21"/>
      <c r="E464" s="25"/>
      <c r="F464" s="25"/>
      <c r="G464" s="12"/>
      <c r="J464" s="5"/>
      <c r="L464" s="376"/>
    </row>
    <row r="465" spans="2:12" s="3" customFormat="1" ht="11.25" customHeight="1" x14ac:dyDescent="0.2">
      <c r="B465" s="293"/>
      <c r="D465" s="21"/>
      <c r="E465" s="25"/>
      <c r="F465" s="25"/>
      <c r="G465" s="12"/>
      <c r="J465" s="5"/>
      <c r="L465" s="376"/>
    </row>
    <row r="466" spans="2:12" s="3" customFormat="1" ht="11.25" customHeight="1" x14ac:dyDescent="0.2">
      <c r="B466" s="293"/>
      <c r="D466" s="21"/>
      <c r="E466" s="25"/>
      <c r="F466" s="25"/>
      <c r="G466" s="12"/>
      <c r="J466" s="5"/>
      <c r="L466" s="376"/>
    </row>
    <row r="467" spans="2:12" s="3" customFormat="1" ht="11.25" customHeight="1" x14ac:dyDescent="0.2">
      <c r="B467" s="293"/>
      <c r="D467" s="21"/>
      <c r="E467" s="25"/>
      <c r="F467" s="25"/>
      <c r="G467" s="12"/>
      <c r="J467" s="5"/>
      <c r="L467" s="376"/>
    </row>
    <row r="468" spans="2:12" s="3" customFormat="1" ht="11.25" customHeight="1" x14ac:dyDescent="0.2">
      <c r="B468" s="293"/>
      <c r="D468" s="21"/>
      <c r="E468" s="25"/>
      <c r="F468" s="25"/>
      <c r="G468" s="12"/>
      <c r="J468" s="5"/>
      <c r="L468" s="376"/>
    </row>
    <row r="469" spans="2:12" s="3" customFormat="1" ht="11.25" customHeight="1" x14ac:dyDescent="0.2">
      <c r="B469" s="293"/>
      <c r="D469" s="21"/>
      <c r="E469" s="25"/>
      <c r="F469" s="25"/>
      <c r="G469" s="12"/>
      <c r="J469" s="5"/>
      <c r="L469" s="376"/>
    </row>
    <row r="470" spans="2:12" s="3" customFormat="1" ht="11.25" customHeight="1" x14ac:dyDescent="0.2">
      <c r="B470" s="293"/>
      <c r="D470" s="21"/>
      <c r="E470" s="25"/>
      <c r="F470" s="25"/>
      <c r="G470" s="12"/>
      <c r="J470" s="5"/>
      <c r="L470" s="376"/>
    </row>
    <row r="471" spans="2:12" s="3" customFormat="1" ht="11.25" customHeight="1" x14ac:dyDescent="0.2">
      <c r="B471" s="293"/>
      <c r="D471" s="21"/>
      <c r="E471" s="25"/>
      <c r="F471" s="25"/>
      <c r="G471" s="12"/>
      <c r="J471" s="5"/>
      <c r="L471" s="376"/>
    </row>
    <row r="472" spans="2:12" s="3" customFormat="1" ht="11.25" customHeight="1" x14ac:dyDescent="0.2">
      <c r="B472" s="293"/>
      <c r="D472" s="21"/>
      <c r="E472" s="25"/>
      <c r="F472" s="25"/>
      <c r="G472" s="12"/>
      <c r="J472" s="5"/>
      <c r="L472" s="376"/>
    </row>
    <row r="473" spans="2:12" s="3" customFormat="1" ht="11.25" customHeight="1" x14ac:dyDescent="0.2">
      <c r="B473" s="293"/>
      <c r="D473" s="21"/>
      <c r="E473" s="25"/>
      <c r="F473" s="25"/>
      <c r="G473" s="12"/>
      <c r="J473" s="5"/>
      <c r="L473" s="376"/>
    </row>
    <row r="474" spans="2:12" s="3" customFormat="1" ht="11.25" customHeight="1" x14ac:dyDescent="0.2">
      <c r="B474" s="293"/>
      <c r="D474" s="21"/>
      <c r="E474" s="25"/>
      <c r="F474" s="25"/>
      <c r="G474" s="12"/>
      <c r="J474" s="5"/>
      <c r="L474" s="376"/>
    </row>
    <row r="475" spans="2:12" s="3" customFormat="1" ht="11.25" customHeight="1" x14ac:dyDescent="0.2">
      <c r="B475" s="293"/>
      <c r="D475" s="21"/>
      <c r="E475" s="25"/>
      <c r="F475" s="25"/>
      <c r="G475" s="12"/>
      <c r="J475" s="5"/>
      <c r="L475" s="376"/>
    </row>
    <row r="476" spans="2:12" s="3" customFormat="1" ht="11.25" customHeight="1" x14ac:dyDescent="0.2">
      <c r="B476" s="293"/>
      <c r="D476" s="21"/>
      <c r="E476" s="25"/>
      <c r="F476" s="25"/>
      <c r="G476" s="12"/>
      <c r="J476" s="5"/>
      <c r="L476" s="376"/>
    </row>
    <row r="477" spans="2:12" s="3" customFormat="1" ht="11.25" customHeight="1" x14ac:dyDescent="0.2">
      <c r="B477" s="293"/>
      <c r="D477" s="21"/>
      <c r="E477" s="25"/>
      <c r="F477" s="25"/>
      <c r="G477" s="12"/>
      <c r="J477" s="5"/>
      <c r="L477" s="376"/>
    </row>
    <row r="478" spans="2:12" s="3" customFormat="1" ht="11.25" customHeight="1" x14ac:dyDescent="0.2">
      <c r="B478" s="293"/>
      <c r="D478" s="21"/>
      <c r="E478" s="25"/>
      <c r="F478" s="25"/>
      <c r="G478" s="12"/>
      <c r="J478" s="5"/>
      <c r="L478" s="376"/>
    </row>
    <row r="479" spans="2:12" s="3" customFormat="1" ht="11.25" customHeight="1" x14ac:dyDescent="0.2">
      <c r="B479" s="293"/>
      <c r="D479" s="21"/>
      <c r="E479" s="25"/>
      <c r="F479" s="25"/>
      <c r="G479" s="12"/>
      <c r="J479" s="5"/>
      <c r="L479" s="376"/>
    </row>
    <row r="480" spans="2:12" s="3" customFormat="1" ht="11.25" customHeight="1" x14ac:dyDescent="0.2">
      <c r="B480" s="293"/>
      <c r="D480" s="21"/>
      <c r="E480" s="25"/>
      <c r="F480" s="25"/>
      <c r="G480" s="12"/>
      <c r="J480" s="5"/>
      <c r="L480" s="376"/>
    </row>
    <row r="481" spans="2:12" s="3" customFormat="1" ht="11.25" customHeight="1" x14ac:dyDescent="0.2">
      <c r="B481" s="293"/>
      <c r="D481" s="21"/>
      <c r="E481" s="25"/>
      <c r="F481" s="25"/>
      <c r="G481" s="12"/>
      <c r="J481" s="5"/>
      <c r="L481" s="376"/>
    </row>
    <row r="482" spans="2:12" s="3" customFormat="1" ht="11.25" customHeight="1" x14ac:dyDescent="0.2">
      <c r="B482" s="293"/>
      <c r="D482" s="21"/>
      <c r="E482" s="25"/>
      <c r="F482" s="25"/>
      <c r="G482" s="12"/>
      <c r="J482" s="5"/>
      <c r="L482" s="376"/>
    </row>
    <row r="483" spans="2:12" s="3" customFormat="1" ht="11.25" customHeight="1" x14ac:dyDescent="0.2">
      <c r="B483" s="293"/>
      <c r="D483" s="21"/>
      <c r="E483" s="25"/>
      <c r="F483" s="25"/>
      <c r="G483" s="12"/>
      <c r="J483" s="5"/>
      <c r="L483" s="376"/>
    </row>
    <row r="484" spans="2:12" s="3" customFormat="1" ht="11.25" customHeight="1" x14ac:dyDescent="0.2">
      <c r="B484" s="293"/>
      <c r="D484" s="21"/>
      <c r="E484" s="25"/>
      <c r="F484" s="25"/>
      <c r="G484" s="12"/>
      <c r="J484" s="5"/>
      <c r="L484" s="376"/>
    </row>
    <row r="485" spans="2:12" s="3" customFormat="1" ht="11.25" customHeight="1" x14ac:dyDescent="0.2">
      <c r="B485" s="293"/>
      <c r="D485" s="21"/>
      <c r="E485" s="25"/>
      <c r="F485" s="25"/>
      <c r="G485" s="12"/>
      <c r="J485" s="5"/>
      <c r="L485" s="376"/>
    </row>
    <row r="486" spans="2:12" s="3" customFormat="1" ht="11.25" customHeight="1" x14ac:dyDescent="0.2">
      <c r="B486" s="293"/>
      <c r="D486" s="21"/>
      <c r="E486" s="25"/>
      <c r="F486" s="25"/>
      <c r="G486" s="12"/>
      <c r="J486" s="5"/>
      <c r="L486" s="376"/>
    </row>
    <row r="487" spans="2:12" s="3" customFormat="1" ht="11.25" customHeight="1" x14ac:dyDescent="0.2">
      <c r="B487" s="293"/>
      <c r="D487" s="21"/>
      <c r="E487" s="25"/>
      <c r="F487" s="25"/>
      <c r="G487" s="12"/>
      <c r="J487" s="5"/>
      <c r="L487" s="376"/>
    </row>
    <row r="488" spans="2:12" s="3" customFormat="1" ht="11.25" customHeight="1" x14ac:dyDescent="0.2">
      <c r="B488" s="293"/>
      <c r="D488" s="21"/>
      <c r="E488" s="25"/>
      <c r="F488" s="25"/>
      <c r="G488" s="12"/>
      <c r="J488" s="5"/>
      <c r="L488" s="376"/>
    </row>
    <row r="489" spans="2:12" s="3" customFormat="1" ht="11.25" customHeight="1" x14ac:dyDescent="0.2">
      <c r="B489" s="293"/>
      <c r="D489" s="21"/>
      <c r="E489" s="25"/>
      <c r="F489" s="25"/>
      <c r="G489" s="12"/>
      <c r="J489" s="5"/>
      <c r="L489" s="376"/>
    </row>
    <row r="490" spans="2:12" s="3" customFormat="1" ht="11.25" customHeight="1" x14ac:dyDescent="0.2">
      <c r="B490" s="293"/>
      <c r="D490" s="21"/>
      <c r="E490" s="25"/>
      <c r="F490" s="25"/>
      <c r="G490" s="12"/>
      <c r="J490" s="5"/>
      <c r="L490" s="376"/>
    </row>
    <row r="491" spans="2:12" s="3" customFormat="1" ht="11.25" customHeight="1" x14ac:dyDescent="0.2">
      <c r="B491" s="293"/>
      <c r="D491" s="21"/>
      <c r="E491" s="25"/>
      <c r="F491" s="25"/>
      <c r="G491" s="12"/>
      <c r="J491" s="5"/>
      <c r="L491" s="376"/>
    </row>
    <row r="492" spans="2:12" s="3" customFormat="1" ht="11.25" customHeight="1" x14ac:dyDescent="0.2">
      <c r="B492" s="293"/>
      <c r="D492" s="21"/>
      <c r="E492" s="25"/>
      <c r="F492" s="25"/>
      <c r="G492" s="12"/>
      <c r="J492" s="5"/>
      <c r="L492" s="376"/>
    </row>
    <row r="493" spans="2:12" s="3" customFormat="1" ht="11.25" customHeight="1" x14ac:dyDescent="0.2">
      <c r="B493" s="293"/>
      <c r="D493" s="21"/>
      <c r="E493" s="25"/>
      <c r="F493" s="25"/>
      <c r="G493" s="12"/>
      <c r="J493" s="5"/>
      <c r="L493" s="376"/>
    </row>
    <row r="494" spans="2:12" s="3" customFormat="1" ht="11.25" customHeight="1" x14ac:dyDescent="0.2">
      <c r="B494" s="293"/>
      <c r="D494" s="21"/>
      <c r="E494" s="25"/>
      <c r="F494" s="25"/>
      <c r="G494" s="12"/>
      <c r="J494" s="5"/>
      <c r="L494" s="376"/>
    </row>
    <row r="495" spans="2:12" s="3" customFormat="1" ht="11.25" customHeight="1" x14ac:dyDescent="0.2">
      <c r="B495" s="293"/>
      <c r="D495" s="21"/>
      <c r="E495" s="25"/>
      <c r="F495" s="25"/>
      <c r="G495" s="12"/>
      <c r="J495" s="5"/>
      <c r="L495" s="376"/>
    </row>
    <row r="496" spans="2:12" s="3" customFormat="1" ht="11.25" customHeight="1" x14ac:dyDescent="0.2">
      <c r="B496" s="293"/>
      <c r="D496" s="21"/>
      <c r="E496" s="25"/>
      <c r="F496" s="25"/>
      <c r="G496" s="12"/>
      <c r="J496" s="5"/>
      <c r="L496" s="376"/>
    </row>
    <row r="497" spans="2:12" s="3" customFormat="1" ht="11.25" customHeight="1" x14ac:dyDescent="0.2">
      <c r="B497" s="293"/>
      <c r="D497" s="21"/>
      <c r="E497" s="25"/>
      <c r="F497" s="25"/>
      <c r="G497" s="12"/>
      <c r="J497" s="5"/>
      <c r="L497" s="376"/>
    </row>
    <row r="498" spans="2:12" s="3" customFormat="1" ht="11.25" customHeight="1" x14ac:dyDescent="0.2">
      <c r="B498" s="293"/>
      <c r="D498" s="21"/>
      <c r="E498" s="25"/>
      <c r="F498" s="25"/>
      <c r="G498" s="12"/>
      <c r="J498" s="5"/>
      <c r="L498" s="376"/>
    </row>
    <row r="499" spans="2:12" s="3" customFormat="1" ht="11.25" customHeight="1" x14ac:dyDescent="0.2">
      <c r="B499" s="293"/>
      <c r="D499" s="21"/>
      <c r="E499" s="25"/>
      <c r="F499" s="25"/>
      <c r="G499" s="12"/>
      <c r="J499" s="5"/>
      <c r="L499" s="376"/>
    </row>
    <row r="500" spans="2:12" s="3" customFormat="1" ht="11.25" customHeight="1" x14ac:dyDescent="0.2">
      <c r="B500" s="293"/>
      <c r="D500" s="21"/>
      <c r="E500" s="25"/>
      <c r="F500" s="25"/>
      <c r="G500" s="12"/>
      <c r="J500" s="5"/>
      <c r="L500" s="376"/>
    </row>
    <row r="501" spans="2:12" s="3" customFormat="1" ht="11.25" customHeight="1" x14ac:dyDescent="0.2">
      <c r="B501" s="293"/>
      <c r="D501" s="21"/>
      <c r="E501" s="25"/>
      <c r="F501" s="25"/>
      <c r="G501" s="12"/>
      <c r="J501" s="5"/>
      <c r="L501" s="376"/>
    </row>
    <row r="502" spans="2:12" s="3" customFormat="1" ht="11.25" customHeight="1" x14ac:dyDescent="0.2">
      <c r="B502" s="293"/>
      <c r="D502" s="21"/>
      <c r="E502" s="25"/>
      <c r="F502" s="25"/>
      <c r="G502" s="12"/>
      <c r="J502" s="5"/>
      <c r="L502" s="376"/>
    </row>
    <row r="503" spans="2:12" s="3" customFormat="1" ht="11.25" customHeight="1" x14ac:dyDescent="0.2">
      <c r="B503" s="293"/>
      <c r="D503" s="21"/>
      <c r="E503" s="25"/>
      <c r="F503" s="25"/>
      <c r="G503" s="12"/>
      <c r="J503" s="5"/>
      <c r="L503" s="376"/>
    </row>
    <row r="504" spans="2:12" s="3" customFormat="1" ht="11.25" customHeight="1" x14ac:dyDescent="0.2">
      <c r="B504" s="293"/>
      <c r="D504" s="21"/>
      <c r="E504" s="25"/>
      <c r="F504" s="25"/>
      <c r="G504" s="12"/>
      <c r="J504" s="5"/>
      <c r="L504" s="376"/>
    </row>
    <row r="505" spans="2:12" s="3" customFormat="1" ht="11.25" customHeight="1" x14ac:dyDescent="0.2">
      <c r="B505" s="293"/>
      <c r="D505" s="21"/>
      <c r="E505" s="25"/>
      <c r="F505" s="25"/>
      <c r="G505" s="12"/>
      <c r="J505" s="5"/>
      <c r="L505" s="376"/>
    </row>
    <row r="506" spans="2:12" s="3" customFormat="1" ht="11.25" customHeight="1" x14ac:dyDescent="0.2">
      <c r="B506" s="293"/>
      <c r="D506" s="21"/>
      <c r="E506" s="25"/>
      <c r="F506" s="25"/>
      <c r="G506" s="12"/>
      <c r="J506" s="5"/>
      <c r="L506" s="376"/>
    </row>
    <row r="507" spans="2:12" s="3" customFormat="1" ht="11.25" customHeight="1" x14ac:dyDescent="0.2">
      <c r="B507" s="293"/>
      <c r="D507" s="21"/>
      <c r="E507" s="25"/>
      <c r="F507" s="25"/>
      <c r="G507" s="12"/>
      <c r="J507" s="5"/>
      <c r="L507" s="376"/>
    </row>
    <row r="508" spans="2:12" s="3" customFormat="1" ht="11.25" customHeight="1" x14ac:dyDescent="0.2">
      <c r="B508" s="293"/>
      <c r="D508" s="21"/>
      <c r="E508" s="25"/>
      <c r="F508" s="25"/>
      <c r="G508" s="12"/>
      <c r="J508" s="5"/>
      <c r="L508" s="376"/>
    </row>
    <row r="509" spans="2:12" s="3" customFormat="1" ht="11.25" customHeight="1" x14ac:dyDescent="0.2">
      <c r="B509" s="293"/>
      <c r="D509" s="21"/>
      <c r="E509" s="25"/>
      <c r="F509" s="25"/>
      <c r="G509" s="12"/>
      <c r="J509" s="5"/>
      <c r="L509" s="376"/>
    </row>
    <row r="510" spans="2:12" s="3" customFormat="1" ht="11.25" customHeight="1" x14ac:dyDescent="0.2">
      <c r="B510" s="293"/>
      <c r="D510" s="21"/>
      <c r="E510" s="25"/>
      <c r="F510" s="25"/>
      <c r="G510" s="12"/>
      <c r="J510" s="5"/>
      <c r="L510" s="376"/>
    </row>
    <row r="511" spans="2:12" s="3" customFormat="1" ht="11.25" customHeight="1" x14ac:dyDescent="0.2">
      <c r="B511" s="293"/>
      <c r="D511" s="21"/>
      <c r="E511" s="25"/>
      <c r="F511" s="25"/>
      <c r="G511" s="12"/>
      <c r="J511" s="5"/>
      <c r="L511" s="376"/>
    </row>
    <row r="512" spans="2:12" s="3" customFormat="1" ht="11.25" customHeight="1" x14ac:dyDescent="0.2">
      <c r="B512" s="293"/>
      <c r="D512" s="21"/>
      <c r="E512" s="25"/>
      <c r="F512" s="25"/>
      <c r="G512" s="12"/>
      <c r="J512" s="5"/>
      <c r="L512" s="376"/>
    </row>
    <row r="513" spans="2:12" s="3" customFormat="1" ht="11.25" customHeight="1" x14ac:dyDescent="0.2">
      <c r="B513" s="293"/>
      <c r="D513" s="21"/>
      <c r="E513" s="25"/>
      <c r="F513" s="25"/>
      <c r="G513" s="12"/>
      <c r="J513" s="5"/>
      <c r="L513" s="376"/>
    </row>
    <row r="514" spans="2:12" s="3" customFormat="1" ht="11.25" customHeight="1" x14ac:dyDescent="0.2">
      <c r="B514" s="293"/>
      <c r="D514" s="21"/>
      <c r="E514" s="25"/>
      <c r="F514" s="25"/>
      <c r="G514" s="12"/>
      <c r="J514" s="5"/>
      <c r="L514" s="376"/>
    </row>
    <row r="515" spans="2:12" s="3" customFormat="1" ht="11.25" customHeight="1" x14ac:dyDescent="0.2">
      <c r="B515" s="293"/>
      <c r="D515" s="21"/>
      <c r="E515" s="25"/>
      <c r="F515" s="25"/>
      <c r="G515" s="12"/>
      <c r="J515" s="5"/>
      <c r="L515" s="376"/>
    </row>
    <row r="516" spans="2:12" s="3" customFormat="1" ht="11.25" customHeight="1" x14ac:dyDescent="0.2">
      <c r="B516" s="293"/>
      <c r="D516" s="21"/>
      <c r="E516" s="25"/>
      <c r="F516" s="25"/>
      <c r="G516" s="12"/>
      <c r="J516" s="5"/>
      <c r="L516" s="376"/>
    </row>
    <row r="517" spans="2:12" s="3" customFormat="1" ht="11.25" customHeight="1" x14ac:dyDescent="0.2">
      <c r="B517" s="293"/>
      <c r="D517" s="21"/>
      <c r="E517" s="25"/>
      <c r="F517" s="25"/>
      <c r="G517" s="12"/>
      <c r="J517" s="5"/>
      <c r="L517" s="376"/>
    </row>
    <row r="518" spans="2:12" s="3" customFormat="1" ht="11.25" customHeight="1" x14ac:dyDescent="0.2">
      <c r="B518" s="293"/>
      <c r="D518" s="21"/>
      <c r="E518" s="25"/>
      <c r="F518" s="25"/>
      <c r="G518" s="12"/>
      <c r="J518" s="5"/>
      <c r="L518" s="376"/>
    </row>
    <row r="519" spans="2:12" s="3" customFormat="1" ht="11.25" customHeight="1" x14ac:dyDescent="0.2">
      <c r="B519" s="293"/>
      <c r="D519" s="21"/>
      <c r="E519" s="25"/>
      <c r="F519" s="25"/>
      <c r="G519" s="12"/>
      <c r="J519" s="5"/>
      <c r="L519" s="376"/>
    </row>
    <row r="520" spans="2:12" s="3" customFormat="1" ht="11.25" customHeight="1" x14ac:dyDescent="0.2">
      <c r="B520" s="293"/>
      <c r="D520" s="21"/>
      <c r="E520" s="25"/>
      <c r="F520" s="25"/>
      <c r="G520" s="12"/>
      <c r="J520" s="5"/>
      <c r="L520" s="376"/>
    </row>
    <row r="521" spans="2:12" s="3" customFormat="1" ht="11.25" customHeight="1" x14ac:dyDescent="0.2">
      <c r="B521" s="293"/>
      <c r="D521" s="21"/>
      <c r="E521" s="25"/>
      <c r="F521" s="25"/>
      <c r="G521" s="12"/>
      <c r="J521" s="5"/>
      <c r="L521" s="376"/>
    </row>
    <row r="522" spans="2:12" s="3" customFormat="1" ht="11.25" customHeight="1" x14ac:dyDescent="0.2">
      <c r="B522" s="293"/>
      <c r="D522" s="21"/>
      <c r="E522" s="25"/>
      <c r="F522" s="25"/>
      <c r="G522" s="12"/>
      <c r="J522" s="5"/>
      <c r="L522" s="376"/>
    </row>
    <row r="523" spans="2:12" s="3" customFormat="1" ht="11.25" customHeight="1" x14ac:dyDescent="0.2">
      <c r="B523" s="293"/>
      <c r="D523" s="21"/>
      <c r="E523" s="25"/>
      <c r="F523" s="25"/>
      <c r="G523" s="12"/>
      <c r="J523" s="5"/>
      <c r="L523" s="376"/>
    </row>
    <row r="524" spans="2:12" s="3" customFormat="1" ht="11.25" customHeight="1" x14ac:dyDescent="0.2">
      <c r="B524" s="293"/>
      <c r="D524" s="21"/>
      <c r="E524" s="25"/>
      <c r="F524" s="25"/>
      <c r="G524" s="12"/>
      <c r="J524" s="5"/>
      <c r="L524" s="376"/>
    </row>
    <row r="525" spans="2:12" s="3" customFormat="1" ht="11.25" customHeight="1" x14ac:dyDescent="0.2">
      <c r="B525" s="293"/>
      <c r="D525" s="21"/>
      <c r="E525" s="25"/>
      <c r="F525" s="25"/>
      <c r="G525" s="12"/>
      <c r="J525" s="5"/>
      <c r="L525" s="376"/>
    </row>
    <row r="526" spans="2:12" s="3" customFormat="1" ht="11.25" customHeight="1" x14ac:dyDescent="0.2">
      <c r="B526" s="293"/>
      <c r="D526" s="21"/>
      <c r="E526" s="25"/>
      <c r="F526" s="25"/>
      <c r="G526" s="12"/>
      <c r="J526" s="5"/>
      <c r="L526" s="376"/>
    </row>
    <row r="527" spans="2:12" s="3" customFormat="1" ht="11.25" customHeight="1" x14ac:dyDescent="0.2">
      <c r="B527" s="293"/>
      <c r="D527" s="21"/>
      <c r="E527" s="25"/>
      <c r="F527" s="25"/>
      <c r="G527" s="12"/>
      <c r="J527" s="5"/>
      <c r="L527" s="376"/>
    </row>
    <row r="528" spans="2:12" s="3" customFormat="1" ht="11.25" customHeight="1" x14ac:dyDescent="0.2">
      <c r="B528" s="293"/>
      <c r="D528" s="21"/>
      <c r="E528" s="25"/>
      <c r="F528" s="25"/>
      <c r="G528" s="12"/>
      <c r="J528" s="5"/>
      <c r="L528" s="376"/>
    </row>
    <row r="529" spans="2:12" s="3" customFormat="1" ht="11.25" customHeight="1" x14ac:dyDescent="0.2">
      <c r="B529" s="293"/>
      <c r="D529" s="21"/>
      <c r="E529" s="25"/>
      <c r="F529" s="25"/>
      <c r="G529" s="12"/>
      <c r="J529" s="5"/>
      <c r="L529" s="376"/>
    </row>
    <row r="530" spans="2:12" s="3" customFormat="1" ht="11.25" customHeight="1" x14ac:dyDescent="0.2">
      <c r="B530" s="293"/>
      <c r="D530" s="21"/>
      <c r="E530" s="25"/>
      <c r="F530" s="25"/>
      <c r="G530" s="12"/>
      <c r="J530" s="5"/>
      <c r="L530" s="376"/>
    </row>
    <row r="531" spans="2:12" s="3" customFormat="1" ht="11.25" customHeight="1" x14ac:dyDescent="0.2">
      <c r="B531" s="293"/>
      <c r="D531" s="21"/>
      <c r="E531" s="25"/>
      <c r="F531" s="25"/>
      <c r="G531" s="12"/>
      <c r="J531" s="5"/>
      <c r="L531" s="376"/>
    </row>
    <row r="532" spans="2:12" s="3" customFormat="1" ht="11.25" customHeight="1" x14ac:dyDescent="0.2">
      <c r="B532" s="293"/>
      <c r="D532" s="21"/>
      <c r="E532" s="25"/>
      <c r="F532" s="25"/>
      <c r="G532" s="12"/>
      <c r="J532" s="5"/>
      <c r="L532" s="376"/>
    </row>
    <row r="533" spans="2:12" s="3" customFormat="1" ht="11.25" customHeight="1" x14ac:dyDescent="0.2">
      <c r="B533" s="293"/>
      <c r="D533" s="21"/>
      <c r="E533" s="25"/>
      <c r="F533" s="25"/>
      <c r="G533" s="12"/>
      <c r="J533" s="5"/>
      <c r="L533" s="376"/>
    </row>
    <row r="534" spans="2:12" s="3" customFormat="1" ht="11.25" customHeight="1" x14ac:dyDescent="0.2">
      <c r="B534" s="293"/>
      <c r="D534" s="21"/>
      <c r="E534" s="25"/>
      <c r="F534" s="25"/>
      <c r="G534" s="12"/>
      <c r="J534" s="5"/>
      <c r="L534" s="376"/>
    </row>
    <row r="535" spans="2:12" s="3" customFormat="1" ht="11.25" customHeight="1" x14ac:dyDescent="0.2">
      <c r="B535" s="293"/>
      <c r="D535" s="21"/>
      <c r="E535" s="25"/>
      <c r="F535" s="25"/>
      <c r="G535" s="12"/>
      <c r="J535" s="5"/>
      <c r="L535" s="376"/>
    </row>
    <row r="536" spans="2:12" s="3" customFormat="1" ht="11.25" customHeight="1" x14ac:dyDescent="0.2">
      <c r="B536" s="293"/>
      <c r="D536" s="21"/>
      <c r="E536" s="25"/>
      <c r="F536" s="25"/>
      <c r="G536" s="12"/>
      <c r="J536" s="5"/>
      <c r="L536" s="376"/>
    </row>
    <row r="537" spans="2:12" s="3" customFormat="1" ht="11.25" customHeight="1" x14ac:dyDescent="0.2">
      <c r="B537" s="293"/>
      <c r="D537" s="21"/>
      <c r="E537" s="25"/>
      <c r="F537" s="25"/>
      <c r="G537" s="12"/>
      <c r="J537" s="5"/>
      <c r="L537" s="376"/>
    </row>
    <row r="538" spans="2:12" s="3" customFormat="1" ht="11.25" customHeight="1" x14ac:dyDescent="0.2">
      <c r="B538" s="293"/>
      <c r="D538" s="21"/>
      <c r="E538" s="25"/>
      <c r="F538" s="25"/>
      <c r="G538" s="12"/>
      <c r="J538" s="5"/>
      <c r="L538" s="376"/>
    </row>
    <row r="539" spans="2:12" s="3" customFormat="1" ht="11.25" customHeight="1" x14ac:dyDescent="0.2">
      <c r="B539" s="293"/>
      <c r="D539" s="21"/>
      <c r="E539" s="25"/>
      <c r="F539" s="25"/>
      <c r="G539" s="12"/>
      <c r="J539" s="5"/>
      <c r="L539" s="376"/>
    </row>
    <row r="540" spans="2:12" s="3" customFormat="1" ht="11.25" customHeight="1" x14ac:dyDescent="0.2">
      <c r="B540" s="293"/>
      <c r="D540" s="21"/>
      <c r="E540" s="25"/>
      <c r="F540" s="25"/>
      <c r="G540" s="12"/>
      <c r="J540" s="5"/>
      <c r="L540" s="376"/>
    </row>
    <row r="541" spans="2:12" s="3" customFormat="1" ht="11.25" customHeight="1" x14ac:dyDescent="0.2">
      <c r="B541" s="293"/>
      <c r="D541" s="21"/>
      <c r="E541" s="25"/>
      <c r="F541" s="25"/>
      <c r="G541" s="12"/>
      <c r="J541" s="5"/>
      <c r="L541" s="376"/>
    </row>
    <row r="542" spans="2:12" s="3" customFormat="1" ht="11.25" customHeight="1" x14ac:dyDescent="0.2">
      <c r="B542" s="293"/>
      <c r="D542" s="21"/>
      <c r="E542" s="25"/>
      <c r="F542" s="25"/>
      <c r="G542" s="12"/>
      <c r="J542" s="5"/>
      <c r="L542" s="376"/>
    </row>
    <row r="543" spans="2:12" s="3" customFormat="1" ht="11.25" customHeight="1" x14ac:dyDescent="0.2">
      <c r="B543" s="293"/>
      <c r="D543" s="21"/>
      <c r="E543" s="25"/>
      <c r="F543" s="25"/>
      <c r="G543" s="12"/>
      <c r="J543" s="5"/>
      <c r="L543" s="376"/>
    </row>
    <row r="544" spans="2:12" s="3" customFormat="1" ht="11.25" customHeight="1" x14ac:dyDescent="0.2">
      <c r="B544" s="293"/>
      <c r="D544" s="21"/>
      <c r="E544" s="25"/>
      <c r="F544" s="25"/>
      <c r="G544" s="12"/>
      <c r="J544" s="5"/>
      <c r="L544" s="376"/>
    </row>
    <row r="545" spans="2:12" s="3" customFormat="1" ht="11.25" customHeight="1" x14ac:dyDescent="0.2">
      <c r="B545" s="293"/>
      <c r="D545" s="21"/>
      <c r="E545" s="25"/>
      <c r="F545" s="25"/>
      <c r="G545" s="12"/>
      <c r="J545" s="5"/>
      <c r="L545" s="376"/>
    </row>
    <row r="546" spans="2:12" s="3" customFormat="1" ht="11.25" customHeight="1" x14ac:dyDescent="0.2">
      <c r="B546" s="293"/>
      <c r="D546" s="21"/>
      <c r="E546" s="25"/>
      <c r="F546" s="25"/>
      <c r="G546" s="12"/>
      <c r="J546" s="5"/>
      <c r="L546" s="376"/>
    </row>
    <row r="547" spans="2:12" s="3" customFormat="1" ht="11.25" customHeight="1" x14ac:dyDescent="0.2">
      <c r="B547" s="293"/>
      <c r="D547" s="21"/>
      <c r="E547" s="25"/>
      <c r="F547" s="25"/>
      <c r="G547" s="12"/>
      <c r="J547" s="5"/>
      <c r="L547" s="376"/>
    </row>
    <row r="548" spans="2:12" s="3" customFormat="1" ht="11.25" customHeight="1" x14ac:dyDescent="0.2">
      <c r="B548" s="293"/>
      <c r="D548" s="21"/>
      <c r="E548" s="25"/>
      <c r="F548" s="25"/>
      <c r="G548" s="12"/>
      <c r="J548" s="5"/>
      <c r="L548" s="376"/>
    </row>
    <row r="549" spans="2:12" s="3" customFormat="1" ht="11.25" customHeight="1" x14ac:dyDescent="0.2">
      <c r="B549" s="293"/>
      <c r="D549" s="21"/>
      <c r="E549" s="25"/>
      <c r="F549" s="25"/>
      <c r="G549" s="12"/>
      <c r="J549" s="5"/>
      <c r="L549" s="376"/>
    </row>
    <row r="550" spans="2:12" s="3" customFormat="1" ht="11.25" customHeight="1" x14ac:dyDescent="0.2">
      <c r="B550" s="293"/>
      <c r="D550" s="21"/>
      <c r="E550" s="25"/>
      <c r="F550" s="25"/>
      <c r="G550" s="12"/>
      <c r="J550" s="5"/>
      <c r="L550" s="376"/>
    </row>
    <row r="551" spans="2:12" s="3" customFormat="1" ht="11.25" customHeight="1" x14ac:dyDescent="0.2">
      <c r="B551" s="293"/>
      <c r="D551" s="21"/>
      <c r="E551" s="25"/>
      <c r="F551" s="25"/>
      <c r="G551" s="12"/>
      <c r="J551" s="5"/>
      <c r="L551" s="376"/>
    </row>
    <row r="552" spans="2:12" s="3" customFormat="1" ht="11.25" customHeight="1" x14ac:dyDescent="0.2">
      <c r="B552" s="293"/>
      <c r="D552" s="21"/>
      <c r="E552" s="25"/>
      <c r="F552" s="25"/>
      <c r="G552" s="12"/>
      <c r="J552" s="5"/>
      <c r="L552" s="376"/>
    </row>
    <row r="553" spans="2:12" s="3" customFormat="1" ht="11.25" customHeight="1" x14ac:dyDescent="0.2">
      <c r="B553" s="293"/>
      <c r="D553" s="21"/>
      <c r="E553" s="25"/>
      <c r="F553" s="25"/>
      <c r="G553" s="12"/>
      <c r="J553" s="5"/>
      <c r="L553" s="376"/>
    </row>
    <row r="554" spans="2:12" s="3" customFormat="1" ht="11.25" customHeight="1" x14ac:dyDescent="0.2">
      <c r="B554" s="293"/>
      <c r="D554" s="21"/>
      <c r="E554" s="25"/>
      <c r="F554" s="25"/>
      <c r="G554" s="12"/>
      <c r="J554" s="5"/>
      <c r="L554" s="376"/>
    </row>
    <row r="555" spans="2:12" s="3" customFormat="1" ht="11.25" customHeight="1" x14ac:dyDescent="0.2">
      <c r="B555" s="293"/>
      <c r="D555" s="21"/>
      <c r="E555" s="25"/>
      <c r="F555" s="25"/>
      <c r="G555" s="12"/>
      <c r="J555" s="5"/>
      <c r="L555" s="376"/>
    </row>
    <row r="556" spans="2:12" s="3" customFormat="1" ht="11.25" customHeight="1" x14ac:dyDescent="0.2">
      <c r="B556" s="293"/>
      <c r="D556" s="21"/>
      <c r="E556" s="25"/>
      <c r="F556" s="25"/>
      <c r="G556" s="12"/>
      <c r="J556" s="5"/>
      <c r="L556" s="376"/>
    </row>
    <row r="557" spans="2:12" s="3" customFormat="1" ht="11.25" customHeight="1" x14ac:dyDescent="0.2">
      <c r="B557" s="293"/>
      <c r="D557" s="21"/>
      <c r="E557" s="25"/>
      <c r="F557" s="25"/>
      <c r="G557" s="12"/>
      <c r="J557" s="5"/>
      <c r="L557" s="376"/>
    </row>
    <row r="558" spans="2:12" s="3" customFormat="1" ht="11.25" customHeight="1" x14ac:dyDescent="0.2">
      <c r="B558" s="293"/>
      <c r="D558" s="21"/>
      <c r="E558" s="25"/>
      <c r="F558" s="25"/>
      <c r="G558" s="12"/>
      <c r="J558" s="5"/>
      <c r="L558" s="376"/>
    </row>
    <row r="559" spans="2:12" s="3" customFormat="1" ht="11.25" customHeight="1" x14ac:dyDescent="0.2">
      <c r="B559" s="293"/>
      <c r="D559" s="21"/>
      <c r="E559" s="25"/>
      <c r="F559" s="25"/>
      <c r="G559" s="12"/>
      <c r="J559" s="5"/>
      <c r="L559" s="376"/>
    </row>
    <row r="560" spans="2:12" s="3" customFormat="1" ht="11.25" customHeight="1" x14ac:dyDescent="0.2">
      <c r="B560" s="293"/>
      <c r="D560" s="21"/>
      <c r="E560" s="25"/>
      <c r="F560" s="25"/>
      <c r="G560" s="12"/>
      <c r="J560" s="5"/>
      <c r="L560" s="376"/>
    </row>
    <row r="561" spans="2:12" s="3" customFormat="1" ht="11.25" customHeight="1" x14ac:dyDescent="0.2">
      <c r="B561" s="293"/>
      <c r="D561" s="21"/>
      <c r="E561" s="25"/>
      <c r="F561" s="25"/>
      <c r="G561" s="12"/>
      <c r="J561" s="5"/>
      <c r="L561" s="376"/>
    </row>
    <row r="562" spans="2:12" s="3" customFormat="1" ht="11.25" customHeight="1" x14ac:dyDescent="0.2">
      <c r="B562" s="293"/>
      <c r="D562" s="21"/>
      <c r="E562" s="25"/>
      <c r="F562" s="25"/>
      <c r="G562" s="12"/>
      <c r="J562" s="5"/>
      <c r="L562" s="376"/>
    </row>
    <row r="563" spans="2:12" s="3" customFormat="1" ht="11.25" customHeight="1" x14ac:dyDescent="0.2">
      <c r="B563" s="293"/>
      <c r="D563" s="21"/>
      <c r="E563" s="25"/>
      <c r="F563" s="25"/>
      <c r="G563" s="12"/>
      <c r="J563" s="5"/>
      <c r="L563" s="376"/>
    </row>
    <row r="564" spans="2:12" s="3" customFormat="1" ht="11.25" customHeight="1" x14ac:dyDescent="0.2">
      <c r="B564" s="293"/>
      <c r="D564" s="21"/>
      <c r="E564" s="25"/>
      <c r="F564" s="25"/>
      <c r="G564" s="12"/>
      <c r="J564" s="5"/>
      <c r="L564" s="376"/>
    </row>
    <row r="565" spans="2:12" s="3" customFormat="1" ht="11.25" customHeight="1" x14ac:dyDescent="0.2">
      <c r="B565" s="293"/>
      <c r="D565" s="21"/>
      <c r="E565" s="25"/>
      <c r="F565" s="25"/>
      <c r="G565" s="12"/>
      <c r="J565" s="5"/>
      <c r="L565" s="376"/>
    </row>
    <row r="566" spans="2:12" s="3" customFormat="1" ht="11.25" customHeight="1" x14ac:dyDescent="0.2">
      <c r="B566" s="293"/>
      <c r="D566" s="21"/>
      <c r="E566" s="25"/>
      <c r="F566" s="25"/>
      <c r="G566" s="12"/>
      <c r="J566" s="5"/>
      <c r="L566" s="376"/>
    </row>
    <row r="567" spans="2:12" s="3" customFormat="1" ht="11.25" customHeight="1" x14ac:dyDescent="0.2">
      <c r="B567" s="293"/>
      <c r="D567" s="21"/>
      <c r="E567" s="25"/>
      <c r="F567" s="25"/>
      <c r="G567" s="12"/>
      <c r="J567" s="5"/>
      <c r="L567" s="376"/>
    </row>
    <row r="568" spans="2:12" s="3" customFormat="1" ht="11.25" customHeight="1" x14ac:dyDescent="0.2">
      <c r="B568" s="293"/>
      <c r="D568" s="21"/>
      <c r="E568" s="25"/>
      <c r="F568" s="25"/>
      <c r="G568" s="12"/>
      <c r="J568" s="5"/>
      <c r="L568" s="376"/>
    </row>
    <row r="569" spans="2:12" s="3" customFormat="1" ht="11.25" customHeight="1" x14ac:dyDescent="0.2">
      <c r="B569" s="293"/>
      <c r="D569" s="21"/>
      <c r="E569" s="25"/>
      <c r="F569" s="25"/>
      <c r="G569" s="12"/>
      <c r="J569" s="5"/>
      <c r="L569" s="376"/>
    </row>
    <row r="570" spans="2:12" s="3" customFormat="1" ht="11.25" customHeight="1" x14ac:dyDescent="0.2">
      <c r="B570" s="293"/>
      <c r="D570" s="21"/>
      <c r="E570" s="25"/>
      <c r="F570" s="25"/>
      <c r="G570" s="12"/>
      <c r="J570" s="5"/>
      <c r="L570" s="376"/>
    </row>
    <row r="571" spans="2:12" s="3" customFormat="1" ht="11.25" customHeight="1" x14ac:dyDescent="0.2">
      <c r="B571" s="293"/>
      <c r="D571" s="21"/>
      <c r="E571" s="25"/>
      <c r="F571" s="25"/>
      <c r="G571" s="12"/>
      <c r="J571" s="5"/>
      <c r="L571" s="376"/>
    </row>
    <row r="572" spans="2:12" s="3" customFormat="1" ht="11.25" customHeight="1" x14ac:dyDescent="0.2">
      <c r="B572" s="293"/>
      <c r="D572" s="21"/>
      <c r="E572" s="25"/>
      <c r="F572" s="25"/>
      <c r="G572" s="12"/>
      <c r="J572" s="5"/>
      <c r="L572" s="376"/>
    </row>
    <row r="573" spans="2:12" s="3" customFormat="1" ht="11.25" customHeight="1" x14ac:dyDescent="0.2">
      <c r="B573" s="293"/>
      <c r="D573" s="21"/>
      <c r="E573" s="25"/>
      <c r="F573" s="25"/>
      <c r="G573" s="12"/>
      <c r="J573" s="5"/>
      <c r="L573" s="376"/>
    </row>
    <row r="574" spans="2:12" s="3" customFormat="1" ht="11.25" customHeight="1" x14ac:dyDescent="0.2">
      <c r="B574" s="293"/>
      <c r="D574" s="21"/>
      <c r="E574" s="25"/>
      <c r="F574" s="25"/>
      <c r="G574" s="12"/>
      <c r="J574" s="5"/>
      <c r="L574" s="376"/>
    </row>
    <row r="575" spans="2:12" s="3" customFormat="1" ht="11.25" customHeight="1" x14ac:dyDescent="0.2">
      <c r="B575" s="293"/>
      <c r="D575" s="21"/>
      <c r="E575" s="25"/>
      <c r="F575" s="25"/>
      <c r="G575" s="12"/>
      <c r="J575" s="5"/>
      <c r="L575" s="376"/>
    </row>
    <row r="576" spans="2:12" s="3" customFormat="1" ht="11.25" customHeight="1" x14ac:dyDescent="0.2">
      <c r="B576" s="293"/>
      <c r="D576" s="21"/>
      <c r="E576" s="25"/>
      <c r="F576" s="25"/>
      <c r="G576" s="12"/>
      <c r="J576" s="5"/>
      <c r="L576" s="376"/>
    </row>
    <row r="577" spans="2:12" s="3" customFormat="1" ht="11.25" customHeight="1" x14ac:dyDescent="0.2">
      <c r="B577" s="293"/>
      <c r="D577" s="21"/>
      <c r="E577" s="25"/>
      <c r="F577" s="25"/>
      <c r="G577" s="12"/>
      <c r="J577" s="5"/>
      <c r="L577" s="376"/>
    </row>
    <row r="578" spans="2:12" s="3" customFormat="1" ht="11.25" customHeight="1" x14ac:dyDescent="0.2">
      <c r="B578" s="293"/>
      <c r="D578" s="21"/>
      <c r="E578" s="25"/>
      <c r="F578" s="25"/>
      <c r="G578" s="12"/>
      <c r="J578" s="5"/>
      <c r="L578" s="376"/>
    </row>
    <row r="579" spans="2:12" s="3" customFormat="1" ht="11.25" customHeight="1" x14ac:dyDescent="0.2">
      <c r="B579" s="293"/>
      <c r="D579" s="21"/>
      <c r="E579" s="25"/>
      <c r="F579" s="25"/>
      <c r="G579" s="12"/>
      <c r="J579" s="5"/>
      <c r="L579" s="376"/>
    </row>
    <row r="580" spans="2:12" s="3" customFormat="1" ht="11.25" customHeight="1" x14ac:dyDescent="0.2">
      <c r="B580" s="293"/>
      <c r="D580" s="21"/>
      <c r="E580" s="25"/>
      <c r="F580" s="25"/>
      <c r="G580" s="12"/>
      <c r="J580" s="5"/>
      <c r="L580" s="376"/>
    </row>
    <row r="581" spans="2:12" s="3" customFormat="1" ht="11.25" customHeight="1" x14ac:dyDescent="0.2">
      <c r="B581" s="293"/>
      <c r="D581" s="21"/>
      <c r="E581" s="25"/>
      <c r="F581" s="25"/>
      <c r="G581" s="12"/>
      <c r="J581" s="5"/>
      <c r="L581" s="376"/>
    </row>
    <row r="582" spans="2:12" s="3" customFormat="1" ht="11.25" customHeight="1" x14ac:dyDescent="0.2">
      <c r="B582" s="293"/>
      <c r="D582" s="21"/>
      <c r="E582" s="25"/>
      <c r="F582" s="25"/>
      <c r="G582" s="12"/>
      <c r="J582" s="5"/>
      <c r="L582" s="376"/>
    </row>
    <row r="583" spans="2:12" s="3" customFormat="1" ht="11.25" customHeight="1" x14ac:dyDescent="0.2">
      <c r="B583" s="293"/>
      <c r="D583" s="21"/>
      <c r="E583" s="25"/>
      <c r="F583" s="25"/>
      <c r="G583" s="12"/>
      <c r="J583" s="5"/>
      <c r="L583" s="376"/>
    </row>
    <row r="584" spans="2:12" s="3" customFormat="1" ht="11.25" customHeight="1" x14ac:dyDescent="0.2">
      <c r="B584" s="293"/>
      <c r="D584" s="21"/>
      <c r="E584" s="25"/>
      <c r="F584" s="25"/>
      <c r="G584" s="12"/>
      <c r="J584" s="5"/>
      <c r="L584" s="376"/>
    </row>
    <row r="585" spans="2:12" s="3" customFormat="1" ht="11.25" customHeight="1" x14ac:dyDescent="0.2">
      <c r="B585" s="293"/>
      <c r="D585" s="21"/>
      <c r="E585" s="25"/>
      <c r="F585" s="25"/>
      <c r="G585" s="12"/>
      <c r="J585" s="5"/>
      <c r="L585" s="376"/>
    </row>
    <row r="586" spans="2:12" s="3" customFormat="1" ht="11.25" customHeight="1" x14ac:dyDescent="0.2">
      <c r="B586" s="293"/>
      <c r="D586" s="21"/>
      <c r="E586" s="25"/>
      <c r="F586" s="25"/>
      <c r="G586" s="12"/>
      <c r="J586" s="5"/>
      <c r="L586" s="376"/>
    </row>
    <row r="587" spans="2:12" s="3" customFormat="1" ht="11.25" customHeight="1" x14ac:dyDescent="0.2">
      <c r="B587" s="293"/>
      <c r="D587" s="21"/>
      <c r="E587" s="25"/>
      <c r="F587" s="25"/>
      <c r="G587" s="12"/>
      <c r="J587" s="5"/>
      <c r="L587" s="376"/>
    </row>
    <row r="588" spans="2:12" s="3" customFormat="1" ht="11.25" customHeight="1" x14ac:dyDescent="0.2">
      <c r="B588" s="293"/>
      <c r="D588" s="21"/>
      <c r="E588" s="25"/>
      <c r="F588" s="25"/>
      <c r="G588" s="12"/>
      <c r="J588" s="5"/>
      <c r="L588" s="376"/>
    </row>
    <row r="589" spans="2:12" s="3" customFormat="1" ht="11.25" customHeight="1" x14ac:dyDescent="0.2">
      <c r="B589" s="293"/>
      <c r="D589" s="21"/>
      <c r="E589" s="25"/>
      <c r="F589" s="25"/>
      <c r="G589" s="12"/>
      <c r="J589" s="5"/>
      <c r="L589" s="376"/>
    </row>
    <row r="590" spans="2:12" s="3" customFormat="1" ht="11.25" customHeight="1" x14ac:dyDescent="0.2">
      <c r="B590" s="293"/>
      <c r="D590" s="21"/>
      <c r="E590" s="25"/>
      <c r="F590" s="25"/>
      <c r="G590" s="12"/>
      <c r="J590" s="5"/>
      <c r="L590" s="376"/>
    </row>
    <row r="591" spans="2:12" s="3" customFormat="1" ht="11.25" customHeight="1" x14ac:dyDescent="0.2">
      <c r="B591" s="293"/>
      <c r="D591" s="21"/>
      <c r="E591" s="25"/>
      <c r="F591" s="25"/>
      <c r="G591" s="12"/>
      <c r="J591" s="5"/>
      <c r="L591" s="376"/>
    </row>
    <row r="592" spans="2:12" s="3" customFormat="1" ht="11.25" customHeight="1" x14ac:dyDescent="0.2">
      <c r="B592" s="293"/>
      <c r="D592" s="21"/>
      <c r="E592" s="25"/>
      <c r="F592" s="25"/>
      <c r="G592" s="12"/>
      <c r="J592" s="5"/>
      <c r="L592" s="376"/>
    </row>
    <row r="593" spans="2:12" s="3" customFormat="1" ht="11.25" customHeight="1" x14ac:dyDescent="0.2">
      <c r="B593" s="293"/>
      <c r="D593" s="21"/>
      <c r="E593" s="25"/>
      <c r="F593" s="25"/>
      <c r="G593" s="12"/>
      <c r="J593" s="5"/>
      <c r="L593" s="376"/>
    </row>
    <row r="594" spans="2:12" s="3" customFormat="1" ht="11.25" customHeight="1" x14ac:dyDescent="0.2">
      <c r="B594" s="293"/>
      <c r="D594" s="21"/>
      <c r="E594" s="25"/>
      <c r="F594" s="25"/>
      <c r="G594" s="12"/>
      <c r="J594" s="5"/>
      <c r="L594" s="376"/>
    </row>
    <row r="595" spans="2:12" s="3" customFormat="1" ht="11.25" customHeight="1" x14ac:dyDescent="0.2">
      <c r="B595" s="293"/>
      <c r="D595" s="21"/>
      <c r="E595" s="25"/>
      <c r="F595" s="25"/>
      <c r="G595" s="12"/>
      <c r="J595" s="5"/>
      <c r="L595" s="376"/>
    </row>
    <row r="596" spans="2:12" s="3" customFormat="1" ht="11.25" customHeight="1" x14ac:dyDescent="0.2">
      <c r="B596" s="293"/>
      <c r="D596" s="21"/>
      <c r="E596" s="25"/>
      <c r="F596" s="25"/>
      <c r="G596" s="12"/>
      <c r="J596" s="5"/>
      <c r="L596" s="376"/>
    </row>
    <row r="597" spans="2:12" s="3" customFormat="1" ht="11.25" customHeight="1" x14ac:dyDescent="0.2">
      <c r="B597" s="293"/>
      <c r="D597" s="21"/>
      <c r="E597" s="25"/>
      <c r="F597" s="25"/>
      <c r="G597" s="12"/>
      <c r="J597" s="5"/>
      <c r="L597" s="376"/>
    </row>
    <row r="598" spans="2:12" s="3" customFormat="1" ht="11.25" customHeight="1" x14ac:dyDescent="0.2">
      <c r="B598" s="293"/>
      <c r="D598" s="21"/>
      <c r="E598" s="25"/>
      <c r="F598" s="25"/>
      <c r="G598" s="12"/>
      <c r="J598" s="5"/>
      <c r="L598" s="376"/>
    </row>
    <row r="599" spans="2:12" s="3" customFormat="1" ht="11.25" customHeight="1" x14ac:dyDescent="0.2">
      <c r="B599" s="293"/>
      <c r="D599" s="21"/>
      <c r="E599" s="25"/>
      <c r="F599" s="25"/>
      <c r="G599" s="12"/>
      <c r="J599" s="5"/>
      <c r="L599" s="376"/>
    </row>
    <row r="600" spans="2:12" s="3" customFormat="1" ht="11.25" customHeight="1" x14ac:dyDescent="0.2">
      <c r="B600" s="293"/>
      <c r="D600" s="21"/>
      <c r="E600" s="25"/>
      <c r="F600" s="25"/>
      <c r="G600" s="12"/>
      <c r="J600" s="5"/>
      <c r="L600" s="376"/>
    </row>
    <row r="601" spans="2:12" s="3" customFormat="1" ht="11.25" customHeight="1" x14ac:dyDescent="0.2">
      <c r="B601" s="293"/>
      <c r="D601" s="21"/>
      <c r="E601" s="25"/>
      <c r="F601" s="25"/>
      <c r="G601" s="12"/>
      <c r="J601" s="5"/>
      <c r="L601" s="376"/>
    </row>
    <row r="602" spans="2:12" s="3" customFormat="1" ht="11.25" customHeight="1" x14ac:dyDescent="0.2">
      <c r="B602" s="293"/>
      <c r="D602" s="21"/>
      <c r="E602" s="25"/>
      <c r="F602" s="25"/>
      <c r="G602" s="12"/>
      <c r="J602" s="5"/>
      <c r="L602" s="376"/>
    </row>
    <row r="603" spans="2:12" s="3" customFormat="1" ht="11.25" customHeight="1" x14ac:dyDescent="0.2">
      <c r="B603" s="293"/>
      <c r="D603" s="21"/>
      <c r="E603" s="25"/>
      <c r="F603" s="25"/>
      <c r="G603" s="12"/>
      <c r="J603" s="5"/>
      <c r="L603" s="376"/>
    </row>
    <row r="604" spans="2:12" s="3" customFormat="1" ht="11.25" customHeight="1" x14ac:dyDescent="0.2">
      <c r="B604" s="293"/>
      <c r="D604" s="21"/>
      <c r="E604" s="25"/>
      <c r="F604" s="25"/>
      <c r="G604" s="12"/>
      <c r="J604" s="5"/>
      <c r="L604" s="376"/>
    </row>
    <row r="605" spans="2:12" s="3" customFormat="1" ht="11.25" customHeight="1" x14ac:dyDescent="0.2">
      <c r="B605" s="293"/>
      <c r="D605" s="21"/>
      <c r="E605" s="25"/>
      <c r="F605" s="25"/>
      <c r="G605" s="12"/>
      <c r="J605" s="5"/>
      <c r="L605" s="376"/>
    </row>
    <row r="606" spans="2:12" s="3" customFormat="1" ht="11.25" customHeight="1" x14ac:dyDescent="0.2">
      <c r="B606" s="293"/>
      <c r="D606" s="21"/>
      <c r="E606" s="25"/>
      <c r="F606" s="25"/>
      <c r="G606" s="12"/>
      <c r="J606" s="5"/>
      <c r="L606" s="376"/>
    </row>
    <row r="607" spans="2:12" s="3" customFormat="1" ht="11.25" customHeight="1" x14ac:dyDescent="0.2">
      <c r="B607" s="293"/>
      <c r="D607" s="21"/>
      <c r="E607" s="25"/>
      <c r="F607" s="25"/>
      <c r="G607" s="12"/>
      <c r="J607" s="5"/>
      <c r="L607" s="376"/>
    </row>
    <row r="608" spans="2:12" s="3" customFormat="1" ht="11.25" customHeight="1" x14ac:dyDescent="0.2">
      <c r="B608" s="293"/>
      <c r="D608" s="21"/>
      <c r="E608" s="25"/>
      <c r="F608" s="25"/>
      <c r="G608" s="12"/>
      <c r="J608" s="5"/>
      <c r="L608" s="376"/>
    </row>
    <row r="609" spans="2:12" s="3" customFormat="1" ht="11.25" customHeight="1" x14ac:dyDescent="0.2">
      <c r="B609" s="293"/>
      <c r="D609" s="21"/>
      <c r="E609" s="25"/>
      <c r="F609" s="25"/>
      <c r="G609" s="12"/>
      <c r="J609" s="5"/>
      <c r="L609" s="376"/>
    </row>
    <row r="610" spans="2:12" s="3" customFormat="1" ht="11.25" customHeight="1" x14ac:dyDescent="0.2">
      <c r="B610" s="293"/>
      <c r="D610" s="21"/>
      <c r="E610" s="25"/>
      <c r="F610" s="25"/>
      <c r="G610" s="12"/>
      <c r="J610" s="5"/>
      <c r="L610" s="376"/>
    </row>
    <row r="611" spans="2:12" s="3" customFormat="1" ht="11.25" customHeight="1" x14ac:dyDescent="0.2">
      <c r="B611" s="293"/>
      <c r="D611" s="21"/>
      <c r="E611" s="25"/>
      <c r="F611" s="25"/>
      <c r="G611" s="12"/>
      <c r="J611" s="5"/>
      <c r="L611" s="376"/>
    </row>
    <row r="612" spans="2:12" s="3" customFormat="1" ht="11.25" customHeight="1" x14ac:dyDescent="0.2">
      <c r="B612" s="293"/>
      <c r="D612" s="21"/>
      <c r="E612" s="25"/>
      <c r="F612" s="25"/>
      <c r="G612" s="12"/>
      <c r="J612" s="5"/>
      <c r="L612" s="376"/>
    </row>
    <row r="613" spans="2:12" s="3" customFormat="1" ht="11.25" customHeight="1" x14ac:dyDescent="0.2">
      <c r="B613" s="293"/>
      <c r="D613" s="21"/>
      <c r="E613" s="25"/>
      <c r="F613" s="25"/>
      <c r="G613" s="12"/>
      <c r="J613" s="5"/>
      <c r="L613" s="376"/>
    </row>
    <row r="614" spans="2:12" s="3" customFormat="1" ht="11.25" customHeight="1" x14ac:dyDescent="0.2">
      <c r="B614" s="293"/>
      <c r="D614" s="21"/>
      <c r="E614" s="25"/>
      <c r="F614" s="25"/>
      <c r="G614" s="12"/>
      <c r="J614" s="5"/>
      <c r="L614" s="376"/>
    </row>
    <row r="615" spans="2:12" s="3" customFormat="1" ht="11.25" customHeight="1" x14ac:dyDescent="0.2">
      <c r="B615" s="293"/>
      <c r="D615" s="21"/>
      <c r="E615" s="25"/>
      <c r="F615" s="25"/>
      <c r="G615" s="12"/>
      <c r="J615" s="5"/>
      <c r="L615" s="376"/>
    </row>
    <row r="616" spans="2:12" s="3" customFormat="1" ht="11.25" customHeight="1" x14ac:dyDescent="0.2">
      <c r="B616" s="293"/>
      <c r="D616" s="21"/>
      <c r="E616" s="25"/>
      <c r="F616" s="25"/>
      <c r="G616" s="12"/>
      <c r="J616" s="5"/>
      <c r="L616" s="376"/>
    </row>
    <row r="617" spans="2:12" s="3" customFormat="1" ht="11.25" customHeight="1" x14ac:dyDescent="0.2">
      <c r="B617" s="293"/>
      <c r="D617" s="21"/>
      <c r="E617" s="25"/>
      <c r="F617" s="25"/>
      <c r="G617" s="12"/>
      <c r="J617" s="5"/>
      <c r="L617" s="376"/>
    </row>
    <row r="618" spans="2:12" s="3" customFormat="1" ht="11.25" customHeight="1" x14ac:dyDescent="0.2">
      <c r="B618" s="293"/>
      <c r="D618" s="21"/>
      <c r="E618" s="25"/>
      <c r="F618" s="25"/>
      <c r="G618" s="12"/>
      <c r="J618" s="5"/>
      <c r="L618" s="376"/>
    </row>
    <row r="619" spans="2:12" s="3" customFormat="1" ht="11.25" customHeight="1" x14ac:dyDescent="0.2">
      <c r="B619" s="293"/>
      <c r="D619" s="21"/>
      <c r="E619" s="25"/>
      <c r="F619" s="25"/>
      <c r="G619" s="12"/>
      <c r="J619" s="5"/>
      <c r="L619" s="376"/>
    </row>
    <row r="620" spans="2:12" s="3" customFormat="1" ht="11.25" customHeight="1" x14ac:dyDescent="0.2">
      <c r="B620" s="293"/>
      <c r="D620" s="21"/>
      <c r="E620" s="25"/>
      <c r="F620" s="25"/>
      <c r="G620" s="12"/>
      <c r="J620" s="5"/>
      <c r="L620" s="376"/>
    </row>
    <row r="621" spans="2:12" s="3" customFormat="1" ht="11.25" customHeight="1" x14ac:dyDescent="0.2">
      <c r="B621" s="293"/>
      <c r="D621" s="21"/>
      <c r="E621" s="25"/>
      <c r="F621" s="25"/>
      <c r="G621" s="12"/>
      <c r="J621" s="5"/>
      <c r="L621" s="376"/>
    </row>
    <row r="622" spans="2:12" s="3" customFormat="1" ht="11.25" customHeight="1" x14ac:dyDescent="0.2">
      <c r="B622" s="293"/>
      <c r="D622" s="21"/>
      <c r="E622" s="25"/>
      <c r="F622" s="25"/>
      <c r="G622" s="12"/>
      <c r="J622" s="5"/>
      <c r="L622" s="376"/>
    </row>
    <row r="623" spans="2:12" s="3" customFormat="1" ht="11.25" customHeight="1" x14ac:dyDescent="0.2">
      <c r="B623" s="293"/>
      <c r="D623" s="21"/>
      <c r="E623" s="25"/>
      <c r="F623" s="25"/>
      <c r="G623" s="12"/>
      <c r="J623" s="5"/>
      <c r="L623" s="376"/>
    </row>
    <row r="624" spans="2:12" s="3" customFormat="1" ht="11.25" customHeight="1" x14ac:dyDescent="0.2">
      <c r="B624" s="293"/>
      <c r="D624" s="21"/>
      <c r="E624" s="25"/>
      <c r="F624" s="25"/>
      <c r="G624" s="12"/>
      <c r="J624" s="5"/>
      <c r="L624" s="376"/>
    </row>
    <row r="625" spans="2:12" s="3" customFormat="1" ht="11.25" customHeight="1" x14ac:dyDescent="0.2">
      <c r="B625" s="293"/>
      <c r="D625" s="21"/>
      <c r="E625" s="25"/>
      <c r="F625" s="25"/>
      <c r="G625" s="12"/>
      <c r="J625" s="5"/>
      <c r="L625" s="376"/>
    </row>
    <row r="626" spans="2:12" s="3" customFormat="1" ht="11.25" customHeight="1" x14ac:dyDescent="0.2">
      <c r="B626" s="293"/>
      <c r="D626" s="21"/>
      <c r="E626" s="25"/>
      <c r="F626" s="25"/>
      <c r="G626" s="12"/>
      <c r="J626" s="5"/>
      <c r="L626" s="376"/>
    </row>
    <row r="627" spans="2:12" s="3" customFormat="1" ht="11.25" customHeight="1" x14ac:dyDescent="0.2">
      <c r="B627" s="293"/>
      <c r="D627" s="21"/>
      <c r="E627" s="25"/>
      <c r="F627" s="25"/>
      <c r="G627" s="12"/>
      <c r="J627" s="5"/>
      <c r="L627" s="376"/>
    </row>
    <row r="628" spans="2:12" s="3" customFormat="1" ht="11.25" customHeight="1" x14ac:dyDescent="0.2">
      <c r="B628" s="293"/>
      <c r="D628" s="21"/>
      <c r="E628" s="25"/>
      <c r="F628" s="25"/>
      <c r="G628" s="12"/>
      <c r="J628" s="5"/>
      <c r="L628" s="376"/>
    </row>
    <row r="629" spans="2:12" s="3" customFormat="1" ht="11.25" customHeight="1" x14ac:dyDescent="0.2">
      <c r="B629" s="293"/>
      <c r="D629" s="21"/>
      <c r="E629" s="25"/>
      <c r="F629" s="25"/>
      <c r="G629" s="12"/>
      <c r="J629" s="5"/>
      <c r="L629" s="376"/>
    </row>
    <row r="630" spans="2:12" s="3" customFormat="1" ht="11.25" customHeight="1" x14ac:dyDescent="0.2">
      <c r="B630" s="293"/>
      <c r="D630" s="21"/>
      <c r="E630" s="25"/>
      <c r="F630" s="25"/>
      <c r="G630" s="12"/>
      <c r="J630" s="5"/>
      <c r="L630" s="376"/>
    </row>
    <row r="631" spans="2:12" s="3" customFormat="1" ht="11.25" customHeight="1" x14ac:dyDescent="0.2">
      <c r="B631" s="293"/>
      <c r="D631" s="21"/>
      <c r="E631" s="25"/>
      <c r="F631" s="25"/>
      <c r="G631" s="12"/>
      <c r="J631" s="5"/>
      <c r="L631" s="376"/>
    </row>
    <row r="632" spans="2:12" s="3" customFormat="1" ht="11.25" customHeight="1" x14ac:dyDescent="0.2">
      <c r="B632" s="293"/>
      <c r="D632" s="21"/>
      <c r="E632" s="25"/>
      <c r="F632" s="25"/>
      <c r="G632" s="12"/>
      <c r="J632" s="5"/>
      <c r="L632" s="376"/>
    </row>
    <row r="633" spans="2:12" s="3" customFormat="1" ht="11.25" customHeight="1" x14ac:dyDescent="0.2">
      <c r="B633" s="293"/>
      <c r="D633" s="21"/>
      <c r="E633" s="25"/>
      <c r="F633" s="25"/>
      <c r="G633" s="12"/>
      <c r="J633" s="5"/>
      <c r="L633" s="376"/>
    </row>
    <row r="634" spans="2:12" s="3" customFormat="1" ht="11.25" customHeight="1" x14ac:dyDescent="0.2">
      <c r="B634" s="293"/>
      <c r="D634" s="21"/>
      <c r="E634" s="25"/>
      <c r="F634" s="25"/>
      <c r="G634" s="12"/>
      <c r="J634" s="5"/>
      <c r="L634" s="376"/>
    </row>
    <row r="635" spans="2:12" s="3" customFormat="1" ht="11.25" customHeight="1" x14ac:dyDescent="0.2">
      <c r="B635" s="293"/>
      <c r="D635" s="21"/>
      <c r="E635" s="25"/>
      <c r="F635" s="25"/>
      <c r="G635" s="12"/>
      <c r="J635" s="5"/>
      <c r="L635" s="376"/>
    </row>
    <row r="636" spans="2:12" s="3" customFormat="1" ht="11.25" customHeight="1" x14ac:dyDescent="0.2">
      <c r="B636" s="293"/>
      <c r="D636" s="21"/>
      <c r="E636" s="25"/>
      <c r="F636" s="25"/>
      <c r="G636" s="12"/>
      <c r="J636" s="5"/>
      <c r="L636" s="376"/>
    </row>
    <row r="637" spans="2:12" s="3" customFormat="1" ht="11.25" customHeight="1" x14ac:dyDescent="0.2">
      <c r="B637" s="293"/>
      <c r="D637" s="21"/>
      <c r="E637" s="25"/>
      <c r="F637" s="25"/>
      <c r="G637" s="12"/>
      <c r="J637" s="5"/>
      <c r="L637" s="376"/>
    </row>
    <row r="638" spans="2:12" s="3" customFormat="1" ht="11.25" customHeight="1" x14ac:dyDescent="0.2">
      <c r="B638" s="293"/>
      <c r="D638" s="21"/>
      <c r="E638" s="25"/>
      <c r="F638" s="25"/>
      <c r="G638" s="12"/>
      <c r="J638" s="5"/>
      <c r="L638" s="376"/>
    </row>
    <row r="639" spans="2:12" s="3" customFormat="1" ht="11.25" customHeight="1" x14ac:dyDescent="0.2">
      <c r="B639" s="293"/>
      <c r="D639" s="21"/>
      <c r="E639" s="25"/>
      <c r="F639" s="25"/>
      <c r="G639" s="12"/>
      <c r="J639" s="5"/>
      <c r="L639" s="376"/>
    </row>
    <row r="640" spans="2:12" s="3" customFormat="1" ht="11.25" customHeight="1" x14ac:dyDescent="0.2">
      <c r="B640" s="293"/>
      <c r="D640" s="21"/>
      <c r="E640" s="25"/>
      <c r="F640" s="25"/>
      <c r="G640" s="12"/>
      <c r="J640" s="5"/>
      <c r="L640" s="376"/>
    </row>
    <row r="641" spans="2:12" s="3" customFormat="1" ht="11.25" customHeight="1" x14ac:dyDescent="0.2">
      <c r="B641" s="293"/>
      <c r="D641" s="21"/>
      <c r="E641" s="25"/>
      <c r="F641" s="25"/>
      <c r="G641" s="12"/>
      <c r="J641" s="5"/>
      <c r="L641" s="376"/>
    </row>
    <row r="642" spans="2:12" s="3" customFormat="1" ht="11.25" customHeight="1" x14ac:dyDescent="0.2">
      <c r="B642" s="293"/>
      <c r="D642" s="21"/>
      <c r="E642" s="25"/>
      <c r="F642" s="25"/>
      <c r="G642" s="12"/>
      <c r="J642" s="5"/>
      <c r="L642" s="376"/>
    </row>
    <row r="643" spans="2:12" s="3" customFormat="1" ht="11.25" customHeight="1" x14ac:dyDescent="0.2">
      <c r="B643" s="293"/>
      <c r="D643" s="21"/>
      <c r="E643" s="25"/>
      <c r="F643" s="25"/>
      <c r="G643" s="12"/>
      <c r="J643" s="5"/>
      <c r="L643" s="376"/>
    </row>
    <row r="644" spans="2:12" s="3" customFormat="1" ht="11.25" customHeight="1" x14ac:dyDescent="0.2">
      <c r="B644" s="293"/>
      <c r="D644" s="21"/>
      <c r="E644" s="25"/>
      <c r="F644" s="25"/>
      <c r="G644" s="12"/>
      <c r="J644" s="5"/>
      <c r="L644" s="376"/>
    </row>
    <row r="645" spans="2:12" s="3" customFormat="1" ht="11.25" customHeight="1" x14ac:dyDescent="0.2">
      <c r="B645" s="293"/>
      <c r="D645" s="21"/>
      <c r="E645" s="25"/>
      <c r="F645" s="25"/>
      <c r="G645" s="12"/>
      <c r="J645" s="5"/>
      <c r="L645" s="376"/>
    </row>
    <row r="646" spans="2:12" s="3" customFormat="1" ht="11.25" customHeight="1" x14ac:dyDescent="0.2">
      <c r="B646" s="293"/>
      <c r="D646" s="21"/>
      <c r="E646" s="25"/>
      <c r="F646" s="25"/>
      <c r="G646" s="12"/>
      <c r="J646" s="5"/>
      <c r="L646" s="376"/>
    </row>
    <row r="647" spans="2:12" s="3" customFormat="1" ht="11.25" customHeight="1" x14ac:dyDescent="0.2">
      <c r="B647" s="293"/>
      <c r="D647" s="21"/>
      <c r="E647" s="25"/>
      <c r="F647" s="25"/>
      <c r="G647" s="12"/>
      <c r="J647" s="5"/>
      <c r="L647" s="376"/>
    </row>
    <row r="648" spans="2:12" s="3" customFormat="1" ht="11.25" customHeight="1" x14ac:dyDescent="0.2">
      <c r="B648" s="293"/>
      <c r="D648" s="21"/>
      <c r="E648" s="25"/>
      <c r="F648" s="25"/>
      <c r="G648" s="12"/>
      <c r="J648" s="5"/>
      <c r="L648" s="376"/>
    </row>
    <row r="649" spans="2:12" s="3" customFormat="1" ht="11.25" customHeight="1" x14ac:dyDescent="0.2">
      <c r="B649" s="293"/>
      <c r="D649" s="21"/>
      <c r="E649" s="25"/>
      <c r="F649" s="25"/>
      <c r="G649" s="12"/>
      <c r="J649" s="5"/>
      <c r="L649" s="376"/>
    </row>
    <row r="650" spans="2:12" s="3" customFormat="1" ht="11.25" customHeight="1" x14ac:dyDescent="0.2">
      <c r="B650" s="293"/>
      <c r="D650" s="21"/>
      <c r="E650" s="25"/>
      <c r="F650" s="25"/>
      <c r="G650" s="12"/>
      <c r="J650" s="5"/>
      <c r="L650" s="376"/>
    </row>
    <row r="651" spans="2:12" s="3" customFormat="1" ht="11.25" customHeight="1" x14ac:dyDescent="0.2">
      <c r="B651" s="293"/>
      <c r="D651" s="21"/>
      <c r="E651" s="25"/>
      <c r="F651" s="25"/>
      <c r="G651" s="12"/>
      <c r="J651" s="5"/>
      <c r="L651" s="376"/>
    </row>
    <row r="652" spans="2:12" s="3" customFormat="1" ht="11.25" customHeight="1" x14ac:dyDescent="0.2">
      <c r="B652" s="293"/>
      <c r="D652" s="21"/>
      <c r="E652" s="25"/>
      <c r="F652" s="25"/>
      <c r="G652" s="12"/>
      <c r="J652" s="5"/>
      <c r="L652" s="376"/>
    </row>
    <row r="653" spans="2:12" s="3" customFormat="1" ht="11.25" customHeight="1" x14ac:dyDescent="0.2">
      <c r="B653" s="293"/>
      <c r="D653" s="21"/>
      <c r="E653" s="25"/>
      <c r="F653" s="25"/>
      <c r="G653" s="12"/>
      <c r="J653" s="5"/>
      <c r="L653" s="376"/>
    </row>
    <row r="654" spans="2:12" s="3" customFormat="1" ht="11.25" customHeight="1" x14ac:dyDescent="0.2">
      <c r="B654" s="293"/>
      <c r="D654" s="21"/>
      <c r="E654" s="25"/>
      <c r="F654" s="25"/>
      <c r="G654" s="12"/>
      <c r="J654" s="5"/>
      <c r="L654" s="376"/>
    </row>
    <row r="655" spans="2:12" s="3" customFormat="1" ht="11.25" customHeight="1" x14ac:dyDescent="0.2">
      <c r="B655" s="293"/>
      <c r="D655" s="21"/>
      <c r="E655" s="25"/>
      <c r="F655" s="25"/>
      <c r="G655" s="12"/>
      <c r="J655" s="5"/>
      <c r="L655" s="376"/>
    </row>
    <row r="656" spans="2:12" s="3" customFormat="1" ht="11.25" customHeight="1" x14ac:dyDescent="0.2">
      <c r="B656" s="293"/>
      <c r="D656" s="21"/>
      <c r="E656" s="25"/>
      <c r="F656" s="25"/>
      <c r="G656" s="12"/>
      <c r="J656" s="5"/>
      <c r="L656" s="376"/>
    </row>
    <row r="657" spans="2:12" s="3" customFormat="1" ht="11.25" customHeight="1" x14ac:dyDescent="0.2">
      <c r="B657" s="293"/>
      <c r="D657" s="21"/>
      <c r="E657" s="25"/>
      <c r="F657" s="25"/>
      <c r="G657" s="12"/>
      <c r="J657" s="5"/>
      <c r="L657" s="376"/>
    </row>
    <row r="658" spans="2:12" s="3" customFormat="1" ht="11.25" customHeight="1" x14ac:dyDescent="0.2">
      <c r="B658" s="293"/>
      <c r="D658" s="21"/>
      <c r="E658" s="25"/>
      <c r="F658" s="25"/>
      <c r="G658" s="12"/>
      <c r="J658" s="5"/>
      <c r="L658" s="376"/>
    </row>
    <row r="659" spans="2:12" s="3" customFormat="1" ht="11.25" customHeight="1" x14ac:dyDescent="0.2">
      <c r="B659" s="293"/>
      <c r="D659" s="21"/>
      <c r="E659" s="25"/>
      <c r="F659" s="25"/>
      <c r="G659" s="12"/>
      <c r="J659" s="5"/>
      <c r="L659" s="376"/>
    </row>
    <row r="660" spans="2:12" s="3" customFormat="1" ht="11.25" customHeight="1" x14ac:dyDescent="0.2">
      <c r="B660" s="293"/>
      <c r="D660" s="21"/>
      <c r="E660" s="25"/>
      <c r="F660" s="25"/>
      <c r="G660" s="12"/>
      <c r="J660" s="5"/>
      <c r="L660" s="376"/>
    </row>
    <row r="661" spans="2:12" s="3" customFormat="1" ht="11.25" customHeight="1" x14ac:dyDescent="0.2">
      <c r="B661" s="293"/>
      <c r="D661" s="21"/>
      <c r="E661" s="25"/>
      <c r="F661" s="25"/>
      <c r="G661" s="12"/>
      <c r="J661" s="5"/>
      <c r="L661" s="376"/>
    </row>
    <row r="662" spans="2:12" s="3" customFormat="1" ht="11.25" customHeight="1" x14ac:dyDescent="0.2">
      <c r="B662" s="293"/>
      <c r="D662" s="21"/>
      <c r="E662" s="25"/>
      <c r="F662" s="25"/>
      <c r="G662" s="12"/>
      <c r="J662" s="5"/>
      <c r="L662" s="376"/>
    </row>
    <row r="663" spans="2:12" s="3" customFormat="1" ht="11.25" customHeight="1" x14ac:dyDescent="0.2">
      <c r="B663" s="293"/>
      <c r="D663" s="21"/>
      <c r="E663" s="25"/>
      <c r="F663" s="25"/>
      <c r="G663" s="12"/>
      <c r="J663" s="5"/>
      <c r="L663" s="376"/>
    </row>
    <row r="664" spans="2:12" s="3" customFormat="1" ht="11.25" customHeight="1" x14ac:dyDescent="0.2">
      <c r="B664" s="293"/>
      <c r="D664" s="21"/>
      <c r="E664" s="25"/>
      <c r="F664" s="25"/>
      <c r="G664" s="12"/>
      <c r="J664" s="5"/>
      <c r="L664" s="376"/>
    </row>
    <row r="665" spans="2:12" s="3" customFormat="1" ht="11.25" customHeight="1" x14ac:dyDescent="0.2">
      <c r="B665" s="293"/>
      <c r="D665" s="21"/>
      <c r="E665" s="25"/>
      <c r="F665" s="25"/>
      <c r="G665" s="12"/>
      <c r="J665" s="5"/>
      <c r="L665" s="376"/>
    </row>
    <row r="666" spans="2:12" s="3" customFormat="1" ht="11.25" customHeight="1" x14ac:dyDescent="0.2">
      <c r="B666" s="293"/>
      <c r="D666" s="21"/>
      <c r="E666" s="25"/>
      <c r="F666" s="25"/>
      <c r="G666" s="12"/>
      <c r="J666" s="5"/>
      <c r="L666" s="376"/>
    </row>
    <row r="667" spans="2:12" s="3" customFormat="1" ht="11.25" customHeight="1" x14ac:dyDescent="0.2">
      <c r="B667" s="293"/>
      <c r="D667" s="21"/>
      <c r="E667" s="25"/>
      <c r="F667" s="25"/>
      <c r="G667" s="12"/>
      <c r="J667" s="5"/>
      <c r="L667" s="376"/>
    </row>
    <row r="668" spans="2:12" s="3" customFormat="1" ht="11.25" customHeight="1" x14ac:dyDescent="0.2">
      <c r="B668" s="293"/>
      <c r="D668" s="21"/>
      <c r="E668" s="25"/>
      <c r="F668" s="25"/>
      <c r="G668" s="12"/>
      <c r="J668" s="5"/>
      <c r="L668" s="376"/>
    </row>
    <row r="669" spans="2:12" s="3" customFormat="1" ht="11.25" customHeight="1" x14ac:dyDescent="0.2">
      <c r="B669" s="293"/>
      <c r="D669" s="21"/>
      <c r="E669" s="25"/>
      <c r="F669" s="25"/>
      <c r="G669" s="12"/>
      <c r="J669" s="5"/>
      <c r="L669" s="376"/>
    </row>
    <row r="670" spans="2:12" s="3" customFormat="1" ht="11.25" customHeight="1" x14ac:dyDescent="0.2">
      <c r="B670" s="293"/>
      <c r="D670" s="21"/>
      <c r="E670" s="25"/>
      <c r="F670" s="25"/>
      <c r="G670" s="12"/>
      <c r="J670" s="5"/>
      <c r="L670" s="376"/>
    </row>
    <row r="671" spans="2:12" s="3" customFormat="1" ht="11.25" customHeight="1" x14ac:dyDescent="0.2">
      <c r="B671" s="293"/>
      <c r="D671" s="21"/>
      <c r="E671" s="25"/>
      <c r="F671" s="25"/>
      <c r="G671" s="12"/>
      <c r="J671" s="5"/>
      <c r="L671" s="376"/>
    </row>
    <row r="672" spans="2:12" s="3" customFormat="1" ht="11.25" customHeight="1" x14ac:dyDescent="0.2">
      <c r="B672" s="293"/>
      <c r="D672" s="21"/>
      <c r="E672" s="25"/>
      <c r="F672" s="25"/>
      <c r="G672" s="12"/>
      <c r="J672" s="5"/>
      <c r="L672" s="376"/>
    </row>
    <row r="673" spans="2:12" s="3" customFormat="1" ht="11.25" customHeight="1" x14ac:dyDescent="0.2">
      <c r="B673" s="293"/>
      <c r="D673" s="21"/>
      <c r="E673" s="25"/>
      <c r="F673" s="25"/>
      <c r="G673" s="12"/>
      <c r="J673" s="5"/>
      <c r="L673" s="376"/>
    </row>
    <row r="674" spans="2:12" s="3" customFormat="1" ht="11.25" customHeight="1" x14ac:dyDescent="0.2">
      <c r="B674" s="293"/>
      <c r="D674" s="21"/>
      <c r="E674" s="25"/>
      <c r="F674" s="25"/>
      <c r="G674" s="12"/>
      <c r="J674" s="5"/>
      <c r="L674" s="376"/>
    </row>
    <row r="675" spans="2:12" s="3" customFormat="1" ht="11.25" customHeight="1" x14ac:dyDescent="0.2">
      <c r="B675" s="293"/>
      <c r="D675" s="21"/>
      <c r="E675" s="25"/>
      <c r="F675" s="25"/>
      <c r="G675" s="12"/>
      <c r="J675" s="5"/>
      <c r="L675" s="376"/>
    </row>
    <row r="676" spans="2:12" s="3" customFormat="1" ht="11.25" customHeight="1" x14ac:dyDescent="0.2">
      <c r="B676" s="293"/>
      <c r="D676" s="21"/>
      <c r="E676" s="25"/>
      <c r="F676" s="25"/>
      <c r="G676" s="12"/>
      <c r="J676" s="5"/>
      <c r="L676" s="376"/>
    </row>
    <row r="677" spans="2:12" s="3" customFormat="1" ht="11.25" customHeight="1" x14ac:dyDescent="0.2">
      <c r="B677" s="293"/>
      <c r="D677" s="21"/>
      <c r="E677" s="25"/>
      <c r="F677" s="25"/>
      <c r="G677" s="12"/>
      <c r="J677" s="5"/>
      <c r="L677" s="376"/>
    </row>
    <row r="678" spans="2:12" s="3" customFormat="1" ht="11.25" customHeight="1" x14ac:dyDescent="0.2">
      <c r="B678" s="293"/>
      <c r="D678" s="21"/>
      <c r="E678" s="25"/>
      <c r="F678" s="25"/>
      <c r="G678" s="12"/>
      <c r="J678" s="5"/>
      <c r="L678" s="376"/>
    </row>
    <row r="679" spans="2:12" s="3" customFormat="1" ht="11.25" customHeight="1" x14ac:dyDescent="0.2">
      <c r="B679" s="293"/>
      <c r="D679" s="21"/>
      <c r="E679" s="25"/>
      <c r="F679" s="25"/>
      <c r="G679" s="12"/>
      <c r="J679" s="5"/>
      <c r="L679" s="376"/>
    </row>
    <row r="680" spans="2:12" s="3" customFormat="1" ht="11.25" customHeight="1" x14ac:dyDescent="0.2">
      <c r="B680" s="293"/>
      <c r="D680" s="21"/>
      <c r="E680" s="25"/>
      <c r="F680" s="25"/>
      <c r="G680" s="12"/>
      <c r="J680" s="5"/>
      <c r="L680" s="376"/>
    </row>
    <row r="681" spans="2:12" s="3" customFormat="1" ht="11.25" customHeight="1" x14ac:dyDescent="0.2">
      <c r="B681" s="293"/>
      <c r="D681" s="21"/>
      <c r="E681" s="25"/>
      <c r="F681" s="25"/>
      <c r="G681" s="12"/>
      <c r="J681" s="5"/>
      <c r="L681" s="376"/>
    </row>
    <row r="682" spans="2:12" s="3" customFormat="1" ht="11.25" customHeight="1" x14ac:dyDescent="0.2">
      <c r="B682" s="293"/>
      <c r="D682" s="21"/>
      <c r="E682" s="25"/>
      <c r="F682" s="25"/>
      <c r="G682" s="12"/>
      <c r="J682" s="5"/>
      <c r="L682" s="376"/>
    </row>
    <row r="683" spans="2:12" s="3" customFormat="1" ht="11.25" customHeight="1" x14ac:dyDescent="0.2">
      <c r="B683" s="293"/>
      <c r="D683" s="21"/>
      <c r="E683" s="25"/>
      <c r="F683" s="25"/>
      <c r="G683" s="12"/>
      <c r="J683" s="5"/>
      <c r="L683" s="376"/>
    </row>
    <row r="684" spans="2:12" s="3" customFormat="1" ht="11.25" customHeight="1" x14ac:dyDescent="0.2">
      <c r="B684" s="293"/>
      <c r="D684" s="21"/>
      <c r="E684" s="25"/>
      <c r="F684" s="25"/>
      <c r="G684" s="12"/>
      <c r="J684" s="5"/>
      <c r="L684" s="376"/>
    </row>
    <row r="685" spans="2:12" s="3" customFormat="1" ht="11.25" customHeight="1" x14ac:dyDescent="0.2">
      <c r="B685" s="293"/>
      <c r="D685" s="21"/>
      <c r="E685" s="25"/>
      <c r="F685" s="25"/>
      <c r="G685" s="12"/>
      <c r="J685" s="5"/>
      <c r="L685" s="376"/>
    </row>
    <row r="686" spans="2:12" s="3" customFormat="1" ht="11.25" customHeight="1" x14ac:dyDescent="0.2">
      <c r="B686" s="293"/>
      <c r="D686" s="21"/>
      <c r="E686" s="25"/>
      <c r="F686" s="25"/>
      <c r="G686" s="12"/>
      <c r="J686" s="5"/>
      <c r="L686" s="376"/>
    </row>
    <row r="687" spans="2:12" s="3" customFormat="1" ht="11.25" customHeight="1" x14ac:dyDescent="0.2">
      <c r="B687" s="293"/>
      <c r="D687" s="21"/>
      <c r="E687" s="25"/>
      <c r="F687" s="25"/>
      <c r="G687" s="12"/>
      <c r="J687" s="5"/>
      <c r="L687" s="376"/>
    </row>
    <row r="688" spans="2:12" s="3" customFormat="1" ht="11.25" customHeight="1" x14ac:dyDescent="0.2">
      <c r="B688" s="293"/>
      <c r="D688" s="21"/>
      <c r="E688" s="25"/>
      <c r="F688" s="25"/>
      <c r="G688" s="12"/>
      <c r="J688" s="5"/>
      <c r="L688" s="376"/>
    </row>
    <row r="689" spans="2:12" s="3" customFormat="1" ht="11.25" customHeight="1" x14ac:dyDescent="0.2">
      <c r="B689" s="293"/>
      <c r="D689" s="21"/>
      <c r="E689" s="25"/>
      <c r="F689" s="25"/>
      <c r="G689" s="12"/>
      <c r="J689" s="5"/>
      <c r="L689" s="376"/>
    </row>
    <row r="690" spans="2:12" s="3" customFormat="1" ht="11.25" customHeight="1" x14ac:dyDescent="0.2">
      <c r="B690" s="293"/>
      <c r="D690" s="21"/>
      <c r="E690" s="25"/>
      <c r="F690" s="25"/>
      <c r="G690" s="12"/>
      <c r="J690" s="5"/>
      <c r="L690" s="376"/>
    </row>
    <row r="691" spans="2:12" s="3" customFormat="1" ht="11.25" customHeight="1" x14ac:dyDescent="0.2">
      <c r="B691" s="293"/>
      <c r="D691" s="21"/>
      <c r="E691" s="25"/>
      <c r="F691" s="25"/>
      <c r="G691" s="12"/>
      <c r="J691" s="5"/>
      <c r="L691" s="376"/>
    </row>
    <row r="692" spans="2:12" s="3" customFormat="1" ht="11.25" customHeight="1" x14ac:dyDescent="0.2">
      <c r="B692" s="293"/>
      <c r="D692" s="21"/>
      <c r="E692" s="25"/>
      <c r="F692" s="25"/>
      <c r="G692" s="12"/>
      <c r="J692" s="5"/>
      <c r="L692" s="376"/>
    </row>
    <row r="693" spans="2:12" s="3" customFormat="1" ht="11.25" customHeight="1" x14ac:dyDescent="0.2">
      <c r="B693" s="293"/>
      <c r="D693" s="21"/>
      <c r="E693" s="25"/>
      <c r="F693" s="25"/>
      <c r="G693" s="12"/>
      <c r="J693" s="5"/>
      <c r="L693" s="376"/>
    </row>
    <row r="694" spans="2:12" s="3" customFormat="1" ht="11.25" customHeight="1" x14ac:dyDescent="0.2">
      <c r="B694" s="293"/>
      <c r="D694" s="21"/>
      <c r="E694" s="25"/>
      <c r="F694" s="25"/>
      <c r="G694" s="12"/>
      <c r="J694" s="5"/>
      <c r="L694" s="376"/>
    </row>
    <row r="695" spans="2:12" s="3" customFormat="1" ht="11.25" customHeight="1" x14ac:dyDescent="0.2">
      <c r="B695" s="293"/>
      <c r="D695" s="21"/>
      <c r="E695" s="25"/>
      <c r="F695" s="25"/>
      <c r="G695" s="12"/>
      <c r="J695" s="5"/>
      <c r="L695" s="376"/>
    </row>
    <row r="696" spans="2:12" s="3" customFormat="1" ht="11.25" customHeight="1" x14ac:dyDescent="0.2">
      <c r="B696" s="293"/>
      <c r="D696" s="21"/>
      <c r="E696" s="25"/>
      <c r="F696" s="25"/>
      <c r="G696" s="12"/>
      <c r="J696" s="5"/>
      <c r="L696" s="376"/>
    </row>
    <row r="697" spans="2:12" s="3" customFormat="1" ht="11.25" customHeight="1" x14ac:dyDescent="0.2">
      <c r="B697" s="293"/>
      <c r="D697" s="21"/>
      <c r="E697" s="25"/>
      <c r="F697" s="25"/>
      <c r="G697" s="12"/>
      <c r="J697" s="5"/>
      <c r="L697" s="376"/>
    </row>
    <row r="698" spans="2:12" s="3" customFormat="1" ht="11.25" customHeight="1" x14ac:dyDescent="0.2">
      <c r="B698" s="293"/>
      <c r="D698" s="21"/>
      <c r="E698" s="25"/>
      <c r="F698" s="25"/>
      <c r="G698" s="12"/>
      <c r="J698" s="5"/>
      <c r="L698" s="376"/>
    </row>
    <row r="699" spans="2:12" s="3" customFormat="1" ht="11.25" customHeight="1" x14ac:dyDescent="0.2">
      <c r="B699" s="293"/>
      <c r="D699" s="21"/>
      <c r="E699" s="25"/>
      <c r="F699" s="25"/>
      <c r="G699" s="12"/>
      <c r="J699" s="5"/>
      <c r="L699" s="376"/>
    </row>
    <row r="700" spans="2:12" s="3" customFormat="1" ht="11.25" customHeight="1" x14ac:dyDescent="0.2">
      <c r="B700" s="293"/>
      <c r="D700" s="21"/>
      <c r="E700" s="25"/>
      <c r="F700" s="25"/>
      <c r="G700" s="12"/>
      <c r="J700" s="5"/>
      <c r="L700" s="376"/>
    </row>
    <row r="701" spans="2:12" s="3" customFormat="1" ht="11.25" customHeight="1" x14ac:dyDescent="0.2">
      <c r="B701" s="293"/>
      <c r="D701" s="21"/>
      <c r="E701" s="25"/>
      <c r="F701" s="25"/>
      <c r="G701" s="12"/>
      <c r="J701" s="5"/>
      <c r="L701" s="376"/>
    </row>
    <row r="702" spans="2:12" s="3" customFormat="1" ht="11.25" customHeight="1" x14ac:dyDescent="0.2">
      <c r="B702" s="293"/>
      <c r="D702" s="21"/>
      <c r="E702" s="25"/>
      <c r="F702" s="25"/>
      <c r="G702" s="12"/>
      <c r="J702" s="5"/>
      <c r="L702" s="376"/>
    </row>
    <row r="703" spans="2:12" s="3" customFormat="1" ht="11.25" customHeight="1" x14ac:dyDescent="0.2">
      <c r="B703" s="293"/>
      <c r="D703" s="21"/>
      <c r="E703" s="25"/>
      <c r="F703" s="25"/>
      <c r="G703" s="12"/>
      <c r="J703" s="5"/>
      <c r="L703" s="376"/>
    </row>
    <row r="704" spans="2:12" s="3" customFormat="1" ht="11.25" customHeight="1" x14ac:dyDescent="0.2">
      <c r="B704" s="293"/>
      <c r="D704" s="21"/>
      <c r="E704" s="25"/>
      <c r="F704" s="25"/>
      <c r="G704" s="12"/>
      <c r="J704" s="5"/>
      <c r="L704" s="376"/>
    </row>
    <row r="705" spans="2:12" s="3" customFormat="1" ht="11.25" customHeight="1" x14ac:dyDescent="0.2">
      <c r="B705" s="293"/>
      <c r="D705" s="21"/>
      <c r="E705" s="25"/>
      <c r="F705" s="25"/>
      <c r="G705" s="12"/>
      <c r="J705" s="5"/>
      <c r="L705" s="376"/>
    </row>
    <row r="706" spans="2:12" s="3" customFormat="1" ht="11.25" customHeight="1" x14ac:dyDescent="0.2">
      <c r="B706" s="293"/>
      <c r="D706" s="21"/>
      <c r="E706" s="25"/>
      <c r="F706" s="25"/>
      <c r="G706" s="12"/>
      <c r="J706" s="5"/>
      <c r="L706" s="376"/>
    </row>
    <row r="707" spans="2:12" s="3" customFormat="1" ht="11.25" customHeight="1" x14ac:dyDescent="0.2">
      <c r="B707" s="293"/>
      <c r="D707" s="21"/>
      <c r="E707" s="25"/>
      <c r="F707" s="25"/>
      <c r="G707" s="12"/>
      <c r="J707" s="5"/>
      <c r="L707" s="376"/>
    </row>
    <row r="708" spans="2:12" s="3" customFormat="1" ht="11.25" customHeight="1" x14ac:dyDescent="0.2">
      <c r="B708" s="293"/>
      <c r="D708" s="21"/>
      <c r="E708" s="25"/>
      <c r="F708" s="25"/>
      <c r="G708" s="12"/>
      <c r="J708" s="5"/>
      <c r="L708" s="376"/>
    </row>
    <row r="709" spans="2:12" s="3" customFormat="1" ht="11.25" customHeight="1" x14ac:dyDescent="0.2">
      <c r="B709" s="293"/>
      <c r="D709" s="21"/>
      <c r="E709" s="25"/>
      <c r="F709" s="25"/>
      <c r="G709" s="12"/>
      <c r="J709" s="5"/>
      <c r="L709" s="376"/>
    </row>
    <row r="710" spans="2:12" s="3" customFormat="1" ht="11.25" customHeight="1" x14ac:dyDescent="0.2">
      <c r="B710" s="293"/>
      <c r="D710" s="21"/>
      <c r="E710" s="25"/>
      <c r="F710" s="25"/>
      <c r="G710" s="12"/>
      <c r="J710" s="5"/>
      <c r="L710" s="376"/>
    </row>
    <row r="711" spans="2:12" s="3" customFormat="1" ht="11.25" customHeight="1" x14ac:dyDescent="0.2">
      <c r="B711" s="293"/>
      <c r="D711" s="21"/>
      <c r="E711" s="25"/>
      <c r="F711" s="25"/>
      <c r="G711" s="12"/>
      <c r="J711" s="5"/>
      <c r="L711" s="376"/>
    </row>
    <row r="712" spans="2:12" s="3" customFormat="1" ht="11.25" customHeight="1" x14ac:dyDescent="0.2">
      <c r="B712" s="293"/>
      <c r="D712" s="21"/>
      <c r="E712" s="25"/>
      <c r="F712" s="25"/>
      <c r="G712" s="12"/>
      <c r="J712" s="5"/>
      <c r="L712" s="376"/>
    </row>
    <row r="713" spans="2:12" s="3" customFormat="1" ht="11.25" customHeight="1" x14ac:dyDescent="0.2">
      <c r="B713" s="293"/>
      <c r="D713" s="21"/>
      <c r="E713" s="25"/>
      <c r="F713" s="25"/>
      <c r="G713" s="12"/>
      <c r="J713" s="5"/>
      <c r="L713" s="376"/>
    </row>
    <row r="714" spans="2:12" s="3" customFormat="1" ht="11.25" customHeight="1" x14ac:dyDescent="0.2">
      <c r="B714" s="293"/>
      <c r="D714" s="21"/>
      <c r="E714" s="25"/>
      <c r="F714" s="25"/>
      <c r="G714" s="12"/>
      <c r="J714" s="5"/>
      <c r="L714" s="376"/>
    </row>
    <row r="715" spans="2:12" s="3" customFormat="1" ht="11.25" customHeight="1" x14ac:dyDescent="0.2">
      <c r="B715" s="293"/>
      <c r="D715" s="21"/>
      <c r="E715" s="25"/>
      <c r="F715" s="25"/>
      <c r="G715" s="12"/>
      <c r="J715" s="5"/>
      <c r="L715" s="376"/>
    </row>
    <row r="716" spans="2:12" s="3" customFormat="1" ht="11.25" customHeight="1" x14ac:dyDescent="0.2">
      <c r="B716" s="293"/>
      <c r="D716" s="21"/>
      <c r="E716" s="25"/>
      <c r="F716" s="25"/>
      <c r="G716" s="12"/>
      <c r="J716" s="5"/>
      <c r="L716" s="376"/>
    </row>
    <row r="717" spans="2:12" s="3" customFormat="1" ht="11.25" customHeight="1" x14ac:dyDescent="0.2">
      <c r="B717" s="293"/>
      <c r="D717" s="21"/>
      <c r="E717" s="25"/>
      <c r="F717" s="25"/>
      <c r="G717" s="12"/>
      <c r="J717" s="5"/>
      <c r="L717" s="376"/>
    </row>
    <row r="718" spans="2:12" s="3" customFormat="1" ht="11.25" customHeight="1" x14ac:dyDescent="0.2">
      <c r="B718" s="293"/>
      <c r="D718" s="21"/>
      <c r="E718" s="25"/>
      <c r="F718" s="25"/>
      <c r="G718" s="12"/>
      <c r="J718" s="5"/>
      <c r="L718" s="376"/>
    </row>
    <row r="719" spans="2:12" s="3" customFormat="1" ht="11.25" customHeight="1" x14ac:dyDescent="0.2">
      <c r="B719" s="293"/>
      <c r="D719" s="21"/>
      <c r="E719" s="25"/>
      <c r="F719" s="25"/>
      <c r="G719" s="12"/>
      <c r="J719" s="5"/>
      <c r="L719" s="376"/>
    </row>
    <row r="720" spans="2:12" s="3" customFormat="1" ht="11.25" customHeight="1" x14ac:dyDescent="0.2">
      <c r="B720" s="293"/>
      <c r="D720" s="21"/>
      <c r="E720" s="25"/>
      <c r="F720" s="25"/>
      <c r="G720" s="12"/>
      <c r="J720" s="5"/>
      <c r="L720" s="376"/>
    </row>
    <row r="721" spans="2:12" s="3" customFormat="1" ht="11.25" customHeight="1" x14ac:dyDescent="0.2">
      <c r="B721" s="293"/>
      <c r="D721" s="21"/>
      <c r="E721" s="25"/>
      <c r="F721" s="25"/>
      <c r="G721" s="12"/>
      <c r="J721" s="5"/>
      <c r="L721" s="376"/>
    </row>
    <row r="722" spans="2:12" s="3" customFormat="1" ht="11.25" customHeight="1" x14ac:dyDescent="0.2">
      <c r="B722" s="293"/>
      <c r="D722" s="21"/>
      <c r="E722" s="25"/>
      <c r="F722" s="25"/>
      <c r="G722" s="12"/>
      <c r="J722" s="5"/>
      <c r="L722" s="376"/>
    </row>
    <row r="723" spans="2:12" s="3" customFormat="1" ht="11.25" customHeight="1" x14ac:dyDescent="0.2">
      <c r="B723" s="293"/>
      <c r="D723" s="21"/>
      <c r="E723" s="25"/>
      <c r="F723" s="25"/>
      <c r="G723" s="12"/>
      <c r="J723" s="5"/>
      <c r="L723" s="376"/>
    </row>
    <row r="724" spans="2:12" s="3" customFormat="1" ht="11.25" customHeight="1" x14ac:dyDescent="0.2">
      <c r="B724" s="293"/>
      <c r="D724" s="21"/>
      <c r="E724" s="25"/>
      <c r="F724" s="25"/>
      <c r="G724" s="12"/>
      <c r="J724" s="5"/>
      <c r="L724" s="376"/>
    </row>
    <row r="725" spans="2:12" s="3" customFormat="1" ht="11.25" customHeight="1" x14ac:dyDescent="0.2">
      <c r="B725" s="293"/>
      <c r="D725" s="21"/>
      <c r="E725" s="25"/>
      <c r="F725" s="25"/>
      <c r="G725" s="12"/>
      <c r="J725" s="5"/>
      <c r="L725" s="376"/>
    </row>
    <row r="726" spans="2:12" s="3" customFormat="1" ht="11.25" customHeight="1" x14ac:dyDescent="0.2">
      <c r="B726" s="293"/>
      <c r="D726" s="21"/>
      <c r="E726" s="25"/>
      <c r="F726" s="25"/>
      <c r="G726" s="12"/>
      <c r="J726" s="5"/>
      <c r="L726" s="376"/>
    </row>
    <row r="727" spans="2:12" s="3" customFormat="1" ht="11.25" customHeight="1" x14ac:dyDescent="0.2">
      <c r="B727" s="293"/>
      <c r="D727" s="21"/>
      <c r="E727" s="25"/>
      <c r="F727" s="25"/>
      <c r="G727" s="12"/>
      <c r="J727" s="5"/>
      <c r="L727" s="376"/>
    </row>
    <row r="728" spans="2:12" s="3" customFormat="1" ht="11.25" customHeight="1" x14ac:dyDescent="0.2">
      <c r="B728" s="293"/>
      <c r="D728" s="21"/>
      <c r="E728" s="25"/>
      <c r="F728" s="25"/>
      <c r="G728" s="12"/>
      <c r="J728" s="5"/>
      <c r="L728" s="376"/>
    </row>
    <row r="729" spans="2:12" s="3" customFormat="1" ht="11.25" customHeight="1" x14ac:dyDescent="0.2">
      <c r="B729" s="293"/>
      <c r="D729" s="21"/>
      <c r="E729" s="25"/>
      <c r="F729" s="25"/>
      <c r="G729" s="12"/>
      <c r="J729" s="5"/>
      <c r="L729" s="376"/>
    </row>
    <row r="730" spans="2:12" s="3" customFormat="1" ht="11.25" customHeight="1" x14ac:dyDescent="0.2">
      <c r="B730" s="293"/>
      <c r="D730" s="21"/>
      <c r="E730" s="25"/>
      <c r="F730" s="25"/>
      <c r="G730" s="12"/>
      <c r="J730" s="5"/>
      <c r="L730" s="376"/>
    </row>
    <row r="731" spans="2:12" s="3" customFormat="1" ht="11.25" customHeight="1" x14ac:dyDescent="0.2">
      <c r="B731" s="293"/>
      <c r="D731" s="21"/>
      <c r="E731" s="25"/>
      <c r="F731" s="25"/>
      <c r="G731" s="12"/>
      <c r="J731" s="5"/>
      <c r="L731" s="376"/>
    </row>
    <row r="732" spans="2:12" s="3" customFormat="1" ht="11.25" customHeight="1" x14ac:dyDescent="0.2">
      <c r="B732" s="293"/>
      <c r="D732" s="21"/>
      <c r="E732" s="25"/>
      <c r="F732" s="25"/>
      <c r="G732" s="12"/>
      <c r="J732" s="5"/>
      <c r="L732" s="376"/>
    </row>
    <row r="733" spans="2:12" s="3" customFormat="1" ht="11.25" customHeight="1" x14ac:dyDescent="0.2">
      <c r="B733" s="293"/>
      <c r="D733" s="21"/>
      <c r="E733" s="25"/>
      <c r="F733" s="25"/>
      <c r="G733" s="12"/>
      <c r="J733" s="5"/>
      <c r="L733" s="376"/>
    </row>
    <row r="734" spans="2:12" s="3" customFormat="1" ht="11.25" customHeight="1" x14ac:dyDescent="0.2">
      <c r="B734" s="293"/>
      <c r="D734" s="21"/>
      <c r="E734" s="25"/>
      <c r="F734" s="25"/>
      <c r="G734" s="12"/>
      <c r="J734" s="5"/>
      <c r="L734" s="376"/>
    </row>
    <row r="735" spans="2:12" s="3" customFormat="1" ht="11.25" customHeight="1" x14ac:dyDescent="0.2">
      <c r="B735" s="293"/>
      <c r="D735" s="21"/>
      <c r="E735" s="25"/>
      <c r="F735" s="25"/>
      <c r="G735" s="12"/>
      <c r="J735" s="5"/>
      <c r="L735" s="376"/>
    </row>
    <row r="736" spans="2:12" s="3" customFormat="1" ht="11.25" customHeight="1" x14ac:dyDescent="0.2">
      <c r="B736" s="293"/>
      <c r="D736" s="21"/>
      <c r="E736" s="25"/>
      <c r="F736" s="25"/>
      <c r="G736" s="12"/>
      <c r="J736" s="5"/>
      <c r="L736" s="376"/>
    </row>
    <row r="737" spans="2:12" s="3" customFormat="1" ht="11.25" customHeight="1" x14ac:dyDescent="0.2">
      <c r="B737" s="293"/>
      <c r="D737" s="21"/>
      <c r="E737" s="25"/>
      <c r="F737" s="25"/>
      <c r="G737" s="12"/>
      <c r="J737" s="5"/>
      <c r="L737" s="376"/>
    </row>
    <row r="738" spans="2:12" s="3" customFormat="1" ht="11.25" customHeight="1" x14ac:dyDescent="0.2">
      <c r="B738" s="293"/>
      <c r="D738" s="21"/>
      <c r="E738" s="25"/>
      <c r="F738" s="25"/>
      <c r="G738" s="12"/>
      <c r="J738" s="5"/>
      <c r="L738" s="376"/>
    </row>
    <row r="739" spans="2:12" s="3" customFormat="1" ht="11.25" customHeight="1" x14ac:dyDescent="0.2">
      <c r="B739" s="293"/>
      <c r="D739" s="21"/>
      <c r="E739" s="25"/>
      <c r="F739" s="25"/>
      <c r="G739" s="12"/>
      <c r="J739" s="5"/>
      <c r="L739" s="376"/>
    </row>
    <row r="740" spans="2:12" s="3" customFormat="1" ht="11.25" customHeight="1" x14ac:dyDescent="0.2">
      <c r="B740" s="293"/>
      <c r="D740" s="21"/>
      <c r="E740" s="25"/>
      <c r="F740" s="25"/>
      <c r="G740" s="12"/>
      <c r="J740" s="5"/>
      <c r="L740" s="376"/>
    </row>
    <row r="741" spans="2:12" s="3" customFormat="1" ht="11.25" customHeight="1" x14ac:dyDescent="0.2">
      <c r="B741" s="293"/>
      <c r="D741" s="21"/>
      <c r="E741" s="25"/>
      <c r="F741" s="25"/>
      <c r="G741" s="12"/>
      <c r="J741" s="5"/>
      <c r="L741" s="376"/>
    </row>
    <row r="742" spans="2:12" s="3" customFormat="1" ht="11.25" customHeight="1" x14ac:dyDescent="0.2">
      <c r="B742" s="293"/>
      <c r="D742" s="21"/>
      <c r="E742" s="25"/>
      <c r="F742" s="25"/>
      <c r="G742" s="12"/>
      <c r="J742" s="5"/>
      <c r="L742" s="376"/>
    </row>
    <row r="743" spans="2:12" s="3" customFormat="1" ht="11.25" customHeight="1" x14ac:dyDescent="0.2">
      <c r="B743" s="293"/>
      <c r="D743" s="21"/>
      <c r="E743" s="25"/>
      <c r="F743" s="25"/>
      <c r="G743" s="12"/>
      <c r="J743" s="5"/>
      <c r="L743" s="376"/>
    </row>
    <row r="744" spans="2:12" s="3" customFormat="1" ht="11.25" customHeight="1" x14ac:dyDescent="0.2">
      <c r="B744" s="293"/>
      <c r="D744" s="21"/>
      <c r="E744" s="25"/>
      <c r="F744" s="25"/>
      <c r="G744" s="12"/>
      <c r="J744" s="5"/>
      <c r="L744" s="376"/>
    </row>
    <row r="745" spans="2:12" s="3" customFormat="1" ht="11.25" customHeight="1" x14ac:dyDescent="0.2">
      <c r="B745" s="293"/>
      <c r="D745" s="21"/>
      <c r="E745" s="25"/>
      <c r="F745" s="25"/>
      <c r="G745" s="12"/>
      <c r="J745" s="5"/>
      <c r="L745" s="376"/>
    </row>
    <row r="746" spans="2:12" s="3" customFormat="1" ht="11.25" customHeight="1" x14ac:dyDescent="0.2">
      <c r="B746" s="293"/>
      <c r="D746" s="21"/>
      <c r="E746" s="25"/>
      <c r="F746" s="25"/>
      <c r="G746" s="12"/>
      <c r="J746" s="5"/>
      <c r="L746" s="376"/>
    </row>
    <row r="747" spans="2:12" s="3" customFormat="1" ht="11.25" customHeight="1" x14ac:dyDescent="0.2">
      <c r="B747" s="293"/>
      <c r="D747" s="21"/>
      <c r="E747" s="25"/>
      <c r="F747" s="25"/>
      <c r="G747" s="12"/>
      <c r="J747" s="5"/>
      <c r="L747" s="376"/>
    </row>
    <row r="748" spans="2:12" s="3" customFormat="1" ht="11.25" customHeight="1" x14ac:dyDescent="0.2">
      <c r="B748" s="293"/>
      <c r="D748" s="21"/>
      <c r="E748" s="25"/>
      <c r="F748" s="25"/>
      <c r="G748" s="12"/>
      <c r="J748" s="5"/>
      <c r="L748" s="376"/>
    </row>
    <row r="749" spans="2:12" s="3" customFormat="1" ht="11.25" customHeight="1" x14ac:dyDescent="0.2">
      <c r="B749" s="293"/>
      <c r="D749" s="21"/>
      <c r="E749" s="25"/>
      <c r="F749" s="25"/>
      <c r="G749" s="12"/>
      <c r="J749" s="5"/>
      <c r="L749" s="376"/>
    </row>
    <row r="750" spans="2:12" s="3" customFormat="1" ht="11.25" customHeight="1" x14ac:dyDescent="0.2">
      <c r="B750" s="293"/>
      <c r="D750" s="21"/>
      <c r="E750" s="25"/>
      <c r="F750" s="25"/>
      <c r="G750" s="12"/>
      <c r="J750" s="5"/>
      <c r="L750" s="376"/>
    </row>
    <row r="751" spans="2:12" s="3" customFormat="1" ht="11.25" customHeight="1" x14ac:dyDescent="0.2">
      <c r="B751" s="293"/>
      <c r="D751" s="21"/>
      <c r="E751" s="25"/>
      <c r="F751" s="25"/>
      <c r="G751" s="12"/>
      <c r="J751" s="5"/>
      <c r="L751" s="376"/>
    </row>
    <row r="752" spans="2:12" s="3" customFormat="1" ht="11.25" customHeight="1" x14ac:dyDescent="0.2">
      <c r="B752" s="293"/>
      <c r="D752" s="21"/>
      <c r="E752" s="25"/>
      <c r="F752" s="25"/>
      <c r="G752" s="12"/>
      <c r="J752" s="5"/>
      <c r="L752" s="376"/>
    </row>
    <row r="753" spans="2:12" s="3" customFormat="1" ht="11.25" customHeight="1" x14ac:dyDescent="0.2">
      <c r="B753" s="293"/>
      <c r="D753" s="21"/>
      <c r="E753" s="25"/>
      <c r="F753" s="25"/>
      <c r="G753" s="12"/>
      <c r="J753" s="5"/>
      <c r="L753" s="376"/>
    </row>
    <row r="754" spans="2:12" s="3" customFormat="1" ht="11.25" customHeight="1" x14ac:dyDescent="0.2">
      <c r="B754" s="293"/>
      <c r="D754" s="21"/>
      <c r="E754" s="25"/>
      <c r="F754" s="25"/>
      <c r="G754" s="12"/>
      <c r="J754" s="5"/>
      <c r="L754" s="376"/>
    </row>
    <row r="755" spans="2:12" s="3" customFormat="1" ht="11.25" customHeight="1" x14ac:dyDescent="0.2">
      <c r="B755" s="293"/>
      <c r="D755" s="21"/>
      <c r="E755" s="25"/>
      <c r="F755" s="25"/>
      <c r="G755" s="12"/>
      <c r="J755" s="5"/>
      <c r="L755" s="376"/>
    </row>
    <row r="756" spans="2:12" s="3" customFormat="1" ht="11.25" customHeight="1" x14ac:dyDescent="0.2">
      <c r="B756" s="293"/>
      <c r="D756" s="21"/>
      <c r="E756" s="25"/>
      <c r="F756" s="25"/>
      <c r="G756" s="12"/>
      <c r="J756" s="5"/>
      <c r="L756" s="376"/>
    </row>
    <row r="757" spans="2:12" s="3" customFormat="1" ht="11.25" customHeight="1" x14ac:dyDescent="0.2">
      <c r="B757" s="293"/>
      <c r="D757" s="21"/>
      <c r="E757" s="25"/>
      <c r="F757" s="25"/>
      <c r="G757" s="12"/>
      <c r="J757" s="5"/>
      <c r="L757" s="376"/>
    </row>
    <row r="758" spans="2:12" s="3" customFormat="1" ht="11.25" customHeight="1" x14ac:dyDescent="0.2">
      <c r="B758" s="293"/>
      <c r="D758" s="21"/>
      <c r="E758" s="25"/>
      <c r="F758" s="25"/>
      <c r="G758" s="12"/>
      <c r="J758" s="5"/>
      <c r="L758" s="376"/>
    </row>
    <row r="759" spans="2:12" s="3" customFormat="1" ht="11.25" customHeight="1" x14ac:dyDescent="0.2">
      <c r="B759" s="293"/>
      <c r="D759" s="21"/>
      <c r="E759" s="25"/>
      <c r="F759" s="25"/>
      <c r="G759" s="12"/>
      <c r="J759" s="5"/>
      <c r="L759" s="376"/>
    </row>
    <row r="760" spans="2:12" s="3" customFormat="1" ht="11.25" customHeight="1" x14ac:dyDescent="0.2">
      <c r="B760" s="293"/>
      <c r="D760" s="21"/>
      <c r="E760" s="25"/>
      <c r="F760" s="25"/>
      <c r="G760" s="12"/>
      <c r="J760" s="5"/>
      <c r="L760" s="376"/>
    </row>
    <row r="761" spans="2:12" s="3" customFormat="1" ht="11.25" customHeight="1" x14ac:dyDescent="0.2">
      <c r="B761" s="293"/>
      <c r="D761" s="21"/>
      <c r="E761" s="25"/>
      <c r="F761" s="25"/>
      <c r="G761" s="12"/>
      <c r="J761" s="5"/>
      <c r="L761" s="376"/>
    </row>
    <row r="762" spans="2:12" s="3" customFormat="1" ht="11.25" customHeight="1" x14ac:dyDescent="0.2">
      <c r="B762" s="293"/>
      <c r="D762" s="21"/>
      <c r="E762" s="25"/>
      <c r="F762" s="25"/>
      <c r="G762" s="12"/>
      <c r="J762" s="5"/>
      <c r="L762" s="376"/>
    </row>
    <row r="763" spans="2:12" s="3" customFormat="1" ht="11.25" customHeight="1" x14ac:dyDescent="0.2">
      <c r="B763" s="293"/>
      <c r="D763" s="21"/>
      <c r="E763" s="25"/>
      <c r="F763" s="25"/>
      <c r="G763" s="12"/>
      <c r="J763" s="5"/>
      <c r="L763" s="376"/>
    </row>
    <row r="764" spans="2:12" s="3" customFormat="1" ht="11.25" customHeight="1" x14ac:dyDescent="0.2">
      <c r="B764" s="293"/>
      <c r="D764" s="21"/>
      <c r="E764" s="25"/>
      <c r="F764" s="25"/>
      <c r="G764" s="12"/>
      <c r="J764" s="5"/>
      <c r="L764" s="376"/>
    </row>
    <row r="765" spans="2:12" s="3" customFormat="1" ht="11.25" customHeight="1" x14ac:dyDescent="0.2">
      <c r="B765" s="293"/>
      <c r="D765" s="21"/>
      <c r="E765" s="25"/>
      <c r="F765" s="25"/>
      <c r="G765" s="12"/>
      <c r="J765" s="5"/>
      <c r="L765" s="376"/>
    </row>
    <row r="766" spans="2:12" s="3" customFormat="1" ht="11.25" customHeight="1" x14ac:dyDescent="0.2">
      <c r="B766" s="293"/>
      <c r="D766" s="21"/>
      <c r="E766" s="25"/>
      <c r="F766" s="25"/>
      <c r="G766" s="12"/>
      <c r="J766" s="5"/>
      <c r="L766" s="376"/>
    </row>
    <row r="767" spans="2:12" s="3" customFormat="1" ht="11.25" customHeight="1" x14ac:dyDescent="0.2">
      <c r="B767" s="293"/>
      <c r="D767" s="21"/>
      <c r="E767" s="25"/>
      <c r="F767" s="25"/>
      <c r="G767" s="12"/>
      <c r="J767" s="5"/>
      <c r="L767" s="376"/>
    </row>
    <row r="768" spans="2:12" s="3" customFormat="1" ht="11.25" customHeight="1" x14ac:dyDescent="0.2">
      <c r="B768" s="293"/>
      <c r="D768" s="21"/>
      <c r="E768" s="25"/>
      <c r="F768" s="25"/>
      <c r="G768" s="12"/>
      <c r="J768" s="5"/>
      <c r="L768" s="376"/>
    </row>
    <row r="769" spans="2:12" s="3" customFormat="1" ht="11.25" customHeight="1" x14ac:dyDescent="0.2">
      <c r="B769" s="293"/>
      <c r="D769" s="21"/>
      <c r="E769" s="25"/>
      <c r="F769" s="25"/>
      <c r="G769" s="12"/>
      <c r="J769" s="5"/>
      <c r="L769" s="376"/>
    </row>
    <row r="770" spans="2:12" s="3" customFormat="1" ht="11.25" customHeight="1" x14ac:dyDescent="0.2">
      <c r="B770" s="293"/>
      <c r="D770" s="21"/>
      <c r="E770" s="25"/>
      <c r="F770" s="25"/>
      <c r="G770" s="12"/>
      <c r="J770" s="5"/>
      <c r="L770" s="376"/>
    </row>
    <row r="771" spans="2:12" s="3" customFormat="1" ht="11.25" customHeight="1" x14ac:dyDescent="0.2">
      <c r="B771" s="293"/>
      <c r="D771" s="21"/>
      <c r="E771" s="25"/>
      <c r="F771" s="25"/>
      <c r="G771" s="12"/>
      <c r="J771" s="5"/>
      <c r="L771" s="376"/>
    </row>
    <row r="772" spans="2:12" s="3" customFormat="1" ht="11.25" customHeight="1" x14ac:dyDescent="0.2">
      <c r="B772" s="293"/>
      <c r="D772" s="21"/>
      <c r="E772" s="25"/>
      <c r="F772" s="25"/>
      <c r="G772" s="12"/>
      <c r="J772" s="5"/>
      <c r="L772" s="376"/>
    </row>
    <row r="773" spans="2:12" s="3" customFormat="1" ht="11.25" customHeight="1" x14ac:dyDescent="0.2">
      <c r="B773" s="293"/>
      <c r="D773" s="21"/>
      <c r="E773" s="25"/>
      <c r="F773" s="25"/>
      <c r="G773" s="12"/>
      <c r="J773" s="5"/>
      <c r="L773" s="376"/>
    </row>
    <row r="774" spans="2:12" s="3" customFormat="1" ht="11.25" customHeight="1" x14ac:dyDescent="0.2">
      <c r="B774" s="293"/>
      <c r="D774" s="21"/>
      <c r="E774" s="25"/>
      <c r="F774" s="25"/>
      <c r="G774" s="12"/>
      <c r="J774" s="5"/>
      <c r="L774" s="376"/>
    </row>
    <row r="775" spans="2:12" s="3" customFormat="1" ht="11.25" customHeight="1" x14ac:dyDescent="0.2">
      <c r="B775" s="293"/>
      <c r="D775" s="21"/>
      <c r="E775" s="25"/>
      <c r="F775" s="25"/>
      <c r="G775" s="12"/>
      <c r="J775" s="5"/>
      <c r="L775" s="376"/>
    </row>
    <row r="776" spans="2:12" s="3" customFormat="1" ht="11.25" customHeight="1" x14ac:dyDescent="0.2">
      <c r="B776" s="293"/>
      <c r="D776" s="21"/>
      <c r="E776" s="25"/>
      <c r="F776" s="25"/>
      <c r="G776" s="12"/>
      <c r="J776" s="5"/>
      <c r="L776" s="376"/>
    </row>
    <row r="777" spans="2:12" s="3" customFormat="1" ht="11.25" customHeight="1" x14ac:dyDescent="0.2">
      <c r="B777" s="293"/>
      <c r="D777" s="21"/>
      <c r="E777" s="25"/>
      <c r="F777" s="25"/>
      <c r="G777" s="12"/>
      <c r="J777" s="5"/>
      <c r="L777" s="376"/>
    </row>
    <row r="778" spans="2:12" s="3" customFormat="1" ht="11.25" customHeight="1" x14ac:dyDescent="0.2">
      <c r="B778" s="293"/>
      <c r="D778" s="21"/>
      <c r="E778" s="25"/>
      <c r="F778" s="25"/>
      <c r="G778" s="12"/>
      <c r="J778" s="5"/>
      <c r="L778" s="376"/>
    </row>
    <row r="779" spans="2:12" s="3" customFormat="1" ht="11.25" customHeight="1" x14ac:dyDescent="0.2">
      <c r="B779" s="293"/>
      <c r="D779" s="21"/>
      <c r="E779" s="25"/>
      <c r="F779" s="25"/>
      <c r="G779" s="12"/>
      <c r="J779" s="5"/>
      <c r="L779" s="376"/>
    </row>
    <row r="780" spans="2:12" s="3" customFormat="1" ht="11.25" customHeight="1" x14ac:dyDescent="0.2">
      <c r="B780" s="293"/>
      <c r="D780" s="21"/>
      <c r="E780" s="25"/>
      <c r="F780" s="25"/>
      <c r="G780" s="12"/>
      <c r="J780" s="5"/>
      <c r="L780" s="376"/>
    </row>
    <row r="781" spans="2:12" s="3" customFormat="1" ht="11.25" customHeight="1" x14ac:dyDescent="0.2">
      <c r="B781" s="293"/>
      <c r="D781" s="21"/>
      <c r="E781" s="25"/>
      <c r="F781" s="25"/>
      <c r="G781" s="12"/>
      <c r="J781" s="5"/>
      <c r="L781" s="376"/>
    </row>
    <row r="782" spans="2:12" s="3" customFormat="1" ht="11.25" customHeight="1" x14ac:dyDescent="0.2">
      <c r="B782" s="293"/>
      <c r="D782" s="21"/>
      <c r="E782" s="25"/>
      <c r="F782" s="25"/>
      <c r="G782" s="12"/>
      <c r="J782" s="5"/>
      <c r="L782" s="376"/>
    </row>
    <row r="783" spans="2:12" s="3" customFormat="1" ht="11.25" customHeight="1" x14ac:dyDescent="0.2">
      <c r="B783" s="293"/>
      <c r="D783" s="21"/>
      <c r="E783" s="25"/>
      <c r="F783" s="25"/>
      <c r="G783" s="12"/>
      <c r="J783" s="5"/>
      <c r="L783" s="376"/>
    </row>
    <row r="784" spans="2:12" s="3" customFormat="1" ht="11.25" customHeight="1" x14ac:dyDescent="0.2">
      <c r="B784" s="293"/>
      <c r="D784" s="21"/>
      <c r="E784" s="25"/>
      <c r="F784" s="25"/>
      <c r="G784" s="12"/>
      <c r="J784" s="5"/>
      <c r="L784" s="376"/>
    </row>
    <row r="785" spans="2:12" s="3" customFormat="1" ht="11.25" customHeight="1" x14ac:dyDescent="0.2">
      <c r="B785" s="293"/>
      <c r="D785" s="21"/>
      <c r="E785" s="25"/>
      <c r="F785" s="25"/>
      <c r="G785" s="12"/>
      <c r="J785" s="5"/>
      <c r="L785" s="376"/>
    </row>
    <row r="786" spans="2:12" s="3" customFormat="1" ht="11.25" customHeight="1" x14ac:dyDescent="0.2">
      <c r="B786" s="293"/>
      <c r="D786" s="21"/>
      <c r="E786" s="25"/>
      <c r="F786" s="25"/>
      <c r="G786" s="12"/>
      <c r="J786" s="5"/>
      <c r="L786" s="376"/>
    </row>
    <row r="787" spans="2:12" s="3" customFormat="1" ht="11.25" customHeight="1" x14ac:dyDescent="0.2">
      <c r="B787" s="293"/>
      <c r="D787" s="21"/>
      <c r="E787" s="25"/>
      <c r="F787" s="25"/>
      <c r="G787" s="12"/>
      <c r="J787" s="5"/>
      <c r="L787" s="376"/>
    </row>
    <row r="788" spans="2:12" s="3" customFormat="1" ht="11.25" customHeight="1" x14ac:dyDescent="0.2">
      <c r="B788" s="293"/>
      <c r="D788" s="21"/>
      <c r="E788" s="25"/>
      <c r="F788" s="25"/>
      <c r="G788" s="12"/>
      <c r="J788" s="5"/>
      <c r="L788" s="376"/>
    </row>
    <row r="789" spans="2:12" s="3" customFormat="1" ht="11.25" customHeight="1" x14ac:dyDescent="0.2">
      <c r="B789" s="293"/>
      <c r="D789" s="21"/>
      <c r="E789" s="25"/>
      <c r="F789" s="25"/>
      <c r="G789" s="12"/>
      <c r="J789" s="5"/>
      <c r="L789" s="376"/>
    </row>
    <row r="790" spans="2:12" s="3" customFormat="1" ht="11.25" customHeight="1" x14ac:dyDescent="0.2">
      <c r="B790" s="293"/>
      <c r="D790" s="21"/>
      <c r="E790" s="25"/>
      <c r="F790" s="25"/>
      <c r="G790" s="12"/>
      <c r="J790" s="5"/>
      <c r="L790" s="376"/>
    </row>
    <row r="791" spans="2:12" s="3" customFormat="1" ht="11.25" customHeight="1" x14ac:dyDescent="0.2">
      <c r="B791" s="293"/>
      <c r="D791" s="21"/>
      <c r="E791" s="25"/>
      <c r="F791" s="25"/>
      <c r="G791" s="12"/>
      <c r="J791" s="5"/>
      <c r="L791" s="376"/>
    </row>
    <row r="792" spans="2:12" s="3" customFormat="1" ht="11.25" customHeight="1" x14ac:dyDescent="0.2">
      <c r="B792" s="293"/>
      <c r="D792" s="21"/>
      <c r="E792" s="25"/>
      <c r="F792" s="25"/>
      <c r="G792" s="12"/>
      <c r="J792" s="5"/>
      <c r="L792" s="376"/>
    </row>
    <row r="793" spans="2:12" s="3" customFormat="1" ht="11.25" customHeight="1" x14ac:dyDescent="0.2">
      <c r="B793" s="293"/>
      <c r="D793" s="21"/>
      <c r="E793" s="25"/>
      <c r="F793" s="25"/>
      <c r="G793" s="12"/>
      <c r="J793" s="5"/>
      <c r="L793" s="376"/>
    </row>
    <row r="794" spans="2:12" s="3" customFormat="1" ht="11.25" customHeight="1" x14ac:dyDescent="0.2">
      <c r="B794" s="293"/>
      <c r="D794" s="21"/>
      <c r="E794" s="25"/>
      <c r="F794" s="25"/>
      <c r="G794" s="12"/>
      <c r="J794" s="5"/>
      <c r="L794" s="376"/>
    </row>
    <row r="795" spans="2:12" s="3" customFormat="1" ht="11.25" customHeight="1" x14ac:dyDescent="0.2">
      <c r="B795" s="293"/>
      <c r="D795" s="21"/>
      <c r="E795" s="25"/>
      <c r="F795" s="25"/>
      <c r="G795" s="12"/>
      <c r="J795" s="5"/>
      <c r="L795" s="376"/>
    </row>
    <row r="796" spans="2:12" s="3" customFormat="1" ht="11.25" customHeight="1" x14ac:dyDescent="0.2">
      <c r="B796" s="293"/>
      <c r="D796" s="21"/>
      <c r="E796" s="25"/>
      <c r="F796" s="25"/>
      <c r="G796" s="12"/>
      <c r="J796" s="5"/>
      <c r="L796" s="376"/>
    </row>
    <row r="797" spans="2:12" s="3" customFormat="1" ht="11.25" customHeight="1" x14ac:dyDescent="0.2">
      <c r="B797" s="293"/>
      <c r="D797" s="21"/>
      <c r="E797" s="25"/>
      <c r="F797" s="25"/>
      <c r="G797" s="12"/>
      <c r="J797" s="5"/>
      <c r="L797" s="376"/>
    </row>
    <row r="798" spans="2:12" s="3" customFormat="1" ht="11.25" customHeight="1" x14ac:dyDescent="0.2">
      <c r="B798" s="293"/>
      <c r="D798" s="21"/>
      <c r="E798" s="25"/>
      <c r="F798" s="25"/>
      <c r="G798" s="12"/>
      <c r="J798" s="5"/>
      <c r="L798" s="376"/>
    </row>
    <row r="799" spans="2:12" s="3" customFormat="1" ht="11.25" customHeight="1" x14ac:dyDescent="0.2">
      <c r="B799" s="293"/>
      <c r="D799" s="21"/>
      <c r="E799" s="25"/>
      <c r="F799" s="25"/>
      <c r="G799" s="12"/>
      <c r="J799" s="5"/>
      <c r="L799" s="376"/>
    </row>
    <row r="800" spans="2:12" s="3" customFormat="1" ht="11.25" customHeight="1" x14ac:dyDescent="0.2">
      <c r="B800" s="293"/>
      <c r="D800" s="21"/>
      <c r="E800" s="25"/>
      <c r="F800" s="25"/>
      <c r="G800" s="12"/>
      <c r="J800" s="5"/>
      <c r="L800" s="376"/>
    </row>
    <row r="801" spans="2:12" s="3" customFormat="1" ht="11.25" customHeight="1" x14ac:dyDescent="0.2">
      <c r="B801" s="293"/>
      <c r="D801" s="21"/>
      <c r="E801" s="25"/>
      <c r="F801" s="25"/>
      <c r="G801" s="12"/>
      <c r="J801" s="5"/>
      <c r="L801" s="376"/>
    </row>
    <row r="802" spans="2:12" s="3" customFormat="1" ht="11.25" customHeight="1" x14ac:dyDescent="0.2">
      <c r="B802" s="293"/>
      <c r="D802" s="21"/>
      <c r="E802" s="25"/>
      <c r="F802" s="25"/>
      <c r="G802" s="12"/>
      <c r="J802" s="5"/>
      <c r="L802" s="376"/>
    </row>
    <row r="803" spans="2:12" s="3" customFormat="1" ht="11.25" customHeight="1" x14ac:dyDescent="0.2">
      <c r="B803" s="293"/>
      <c r="D803" s="21"/>
      <c r="E803" s="25"/>
      <c r="F803" s="25"/>
      <c r="G803" s="12"/>
      <c r="J803" s="5"/>
      <c r="L803" s="376"/>
    </row>
    <row r="804" spans="2:12" s="3" customFormat="1" ht="11.25" customHeight="1" x14ac:dyDescent="0.2">
      <c r="B804" s="293"/>
      <c r="D804" s="21"/>
      <c r="E804" s="25"/>
      <c r="F804" s="25"/>
      <c r="G804" s="12"/>
      <c r="J804" s="5"/>
      <c r="L804" s="376"/>
    </row>
    <row r="805" spans="2:12" s="3" customFormat="1" ht="11.25" customHeight="1" x14ac:dyDescent="0.2">
      <c r="B805" s="293"/>
      <c r="D805" s="21"/>
      <c r="E805" s="25"/>
      <c r="F805" s="25"/>
      <c r="G805" s="12"/>
      <c r="J805" s="5"/>
      <c r="L805" s="376"/>
    </row>
    <row r="806" spans="2:12" s="3" customFormat="1" ht="11.25" customHeight="1" x14ac:dyDescent="0.2">
      <c r="B806" s="293"/>
      <c r="D806" s="21"/>
      <c r="E806" s="25"/>
      <c r="F806" s="25"/>
      <c r="G806" s="12"/>
      <c r="J806" s="5"/>
      <c r="L806" s="376"/>
    </row>
    <row r="807" spans="2:12" s="3" customFormat="1" ht="11.25" customHeight="1" x14ac:dyDescent="0.2">
      <c r="B807" s="293"/>
      <c r="D807" s="21"/>
      <c r="E807" s="25"/>
      <c r="F807" s="25"/>
      <c r="G807" s="12"/>
      <c r="J807" s="5"/>
      <c r="L807" s="376"/>
    </row>
    <row r="808" spans="2:12" s="3" customFormat="1" ht="11.25" customHeight="1" x14ac:dyDescent="0.2">
      <c r="B808" s="293"/>
      <c r="D808" s="21"/>
      <c r="E808" s="25"/>
      <c r="F808" s="25"/>
      <c r="G808" s="12"/>
      <c r="J808" s="5"/>
      <c r="L808" s="376"/>
    </row>
    <row r="809" spans="2:12" s="3" customFormat="1" ht="11.25" customHeight="1" x14ac:dyDescent="0.2">
      <c r="B809" s="293"/>
      <c r="D809" s="21"/>
      <c r="E809" s="25"/>
      <c r="F809" s="25"/>
      <c r="G809" s="12"/>
      <c r="J809" s="5"/>
      <c r="L809" s="376"/>
    </row>
    <row r="810" spans="2:12" s="3" customFormat="1" ht="11.25" customHeight="1" x14ac:dyDescent="0.2">
      <c r="B810" s="293"/>
      <c r="D810" s="21"/>
      <c r="E810" s="25"/>
      <c r="F810" s="25"/>
      <c r="G810" s="12"/>
      <c r="J810" s="5"/>
      <c r="L810" s="376"/>
    </row>
    <row r="811" spans="2:12" s="3" customFormat="1" ht="11.25" customHeight="1" x14ac:dyDescent="0.2">
      <c r="B811" s="293"/>
      <c r="D811" s="21"/>
      <c r="E811" s="25"/>
      <c r="F811" s="25"/>
      <c r="G811" s="12"/>
      <c r="J811" s="5"/>
      <c r="L811" s="376"/>
    </row>
    <row r="812" spans="2:12" s="3" customFormat="1" ht="11.25" customHeight="1" x14ac:dyDescent="0.2">
      <c r="B812" s="293"/>
      <c r="D812" s="21"/>
      <c r="E812" s="25"/>
      <c r="F812" s="25"/>
      <c r="G812" s="12"/>
      <c r="J812" s="5"/>
      <c r="L812" s="376"/>
    </row>
    <row r="813" spans="2:12" s="3" customFormat="1" ht="11.25" customHeight="1" x14ac:dyDescent="0.2">
      <c r="B813" s="293"/>
      <c r="D813" s="21"/>
      <c r="E813" s="25"/>
      <c r="F813" s="25"/>
      <c r="G813" s="12"/>
      <c r="J813" s="5"/>
      <c r="L813" s="376"/>
    </row>
    <row r="814" spans="2:12" s="3" customFormat="1" ht="11.25" customHeight="1" x14ac:dyDescent="0.2">
      <c r="B814" s="293"/>
      <c r="D814" s="21"/>
      <c r="E814" s="25"/>
      <c r="F814" s="25"/>
      <c r="G814" s="12"/>
      <c r="J814" s="5"/>
      <c r="L814" s="376"/>
    </row>
    <row r="815" spans="2:12" s="3" customFormat="1" ht="11.25" customHeight="1" x14ac:dyDescent="0.2">
      <c r="B815" s="293"/>
      <c r="D815" s="21"/>
      <c r="E815" s="25"/>
      <c r="F815" s="25"/>
      <c r="G815" s="12"/>
      <c r="J815" s="5"/>
      <c r="L815" s="376"/>
    </row>
    <row r="816" spans="2:12" s="3" customFormat="1" ht="11.25" customHeight="1" x14ac:dyDescent="0.2">
      <c r="B816" s="293"/>
      <c r="D816" s="21"/>
      <c r="E816" s="25"/>
      <c r="F816" s="25"/>
      <c r="G816" s="12"/>
      <c r="J816" s="5"/>
      <c r="L816" s="376"/>
    </row>
    <row r="817" spans="2:12" s="3" customFormat="1" ht="11.25" customHeight="1" x14ac:dyDescent="0.2">
      <c r="B817" s="293"/>
      <c r="D817" s="21"/>
      <c r="E817" s="25"/>
      <c r="F817" s="25"/>
      <c r="G817" s="12"/>
      <c r="J817" s="5"/>
      <c r="L817" s="376"/>
    </row>
    <row r="818" spans="2:12" s="3" customFormat="1" ht="11.25" customHeight="1" x14ac:dyDescent="0.2">
      <c r="B818" s="293"/>
      <c r="D818" s="21"/>
      <c r="E818" s="25"/>
      <c r="F818" s="25"/>
      <c r="G818" s="12"/>
      <c r="J818" s="5"/>
      <c r="L818" s="376"/>
    </row>
    <row r="819" spans="2:12" s="3" customFormat="1" ht="11.25" customHeight="1" x14ac:dyDescent="0.2">
      <c r="B819" s="293"/>
      <c r="D819" s="21"/>
      <c r="E819" s="25"/>
      <c r="F819" s="25"/>
      <c r="G819" s="12"/>
      <c r="J819" s="5"/>
      <c r="L819" s="376"/>
    </row>
    <row r="820" spans="2:12" s="3" customFormat="1" ht="11.25" customHeight="1" x14ac:dyDescent="0.2">
      <c r="B820" s="293"/>
      <c r="D820" s="21"/>
      <c r="E820" s="25"/>
      <c r="F820" s="25"/>
      <c r="G820" s="12"/>
      <c r="J820" s="5"/>
      <c r="L820" s="376"/>
    </row>
  </sheetData>
  <autoFilter ref="A1:K116"/>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$-TBao1 </vt:lpstr>
      <vt:lpstr>%-TBao2</vt:lpstr>
      <vt:lpstr>- DLiêu Gốc -</vt:lpstr>
      <vt:lpstr>'$-TBao1 '!Print_Area</vt:lpstr>
      <vt:lpstr>'%-TBao2'!Print_Area</vt:lpstr>
      <vt:lpstr>'$-TBao1 '!Print_Titles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2021-01-07T05:12:02Z</cp:lastPrinted>
  <dcterms:created xsi:type="dcterms:W3CDTF">1996-10-14T23:33:28Z</dcterms:created>
  <dcterms:modified xsi:type="dcterms:W3CDTF">2021-01-07T10:13:04Z</dcterms:modified>
</cp:coreProperties>
</file>