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ẢNG LƯƠNG, % PCNG\$$$$$ - %%%%\@@@@. Luong + PCTN NG\1. Nâng (Lg + PC NG)\Luong, PCTN 2022\Lương+PC tháng 10.2022\"/>
    </mc:Choice>
  </mc:AlternateContent>
  <bookViews>
    <workbookView xWindow="0" yWindow="0" windowWidth="20490" windowHeight="7740" activeTab="1"/>
  </bookViews>
  <sheets>
    <sheet name="$TBao1" sheetId="149" r:id="rId1"/>
    <sheet name="%-TBao2" sheetId="103" r:id="rId2"/>
    <sheet name="Du lieu lien quan" sheetId="52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'Du lieu lien quan'!$A$1:$K$115</definedName>
    <definedName name="_xlnm.Print_Area" localSheetId="0">'$TBao1'!$B$1:$FO$53</definedName>
    <definedName name="_xlnm.Print_Area" localSheetId="1">'%-TBao2'!$B$1:$FR$102</definedName>
    <definedName name="_xlnm.Print_Titles" localSheetId="0">'$TBao1'!$9:$12</definedName>
    <definedName name="_xlnm.Print_Titles" localSheetId="1">'%-TBao2'!$11:$13</definedName>
  </definedNames>
  <calcPr calcId="152511"/>
</workbook>
</file>

<file path=xl/calcChain.xml><?xml version="1.0" encoding="utf-8"?>
<calcChain xmlns="http://schemas.openxmlformats.org/spreadsheetml/2006/main">
  <c r="EE26" i="103" l="1"/>
  <c r="EF26" i="103" s="1"/>
  <c r="DM26" i="103"/>
  <c r="DH26" i="103"/>
  <c r="DI26" i="103" s="1"/>
  <c r="DG26" i="103"/>
  <c r="DF26" i="103"/>
  <c r="CX26" i="103" s="1"/>
  <c r="DD26" i="103"/>
  <c r="CW26" i="103"/>
  <c r="DB26" i="103" s="1"/>
  <c r="CP26" i="103"/>
  <c r="CK26" i="103"/>
  <c r="CE26" i="103"/>
  <c r="CB26" i="103"/>
  <c r="CA26" i="103"/>
  <c r="BY26" i="103"/>
  <c r="BP26" i="103"/>
  <c r="BF26" i="103"/>
  <c r="BE26" i="103"/>
  <c r="BD26" i="103"/>
  <c r="AE26" i="103" s="1"/>
  <c r="BC26" i="103"/>
  <c r="AO26" i="103"/>
  <c r="EM26" i="103" s="1"/>
  <c r="AD26" i="103"/>
  <c r="Z26" i="103"/>
  <c r="W26" i="103"/>
  <c r="X26" i="103" s="1"/>
  <c r="CJ26" i="103" s="1"/>
  <c r="U26" i="103"/>
  <c r="T26" i="103"/>
  <c r="Q26" i="103"/>
  <c r="O26" i="103" s="1"/>
  <c r="M26" i="103"/>
  <c r="D26" i="103"/>
  <c r="EE32" i="103"/>
  <c r="EF32" i="103" s="1"/>
  <c r="DM32" i="103"/>
  <c r="DH32" i="103"/>
  <c r="DL32" i="103" s="1"/>
  <c r="DG32" i="103"/>
  <c r="DF32" i="103"/>
  <c r="CX32" i="103" s="1"/>
  <c r="DB32" i="103" s="1"/>
  <c r="DD32" i="103"/>
  <c r="CW32" i="103"/>
  <c r="CY32" i="103" s="1"/>
  <c r="CP32" i="103"/>
  <c r="CK32" i="103"/>
  <c r="CE32" i="103"/>
  <c r="CB32" i="103"/>
  <c r="CA32" i="103"/>
  <c r="BY32" i="103"/>
  <c r="BP32" i="103"/>
  <c r="BF32" i="103"/>
  <c r="BE32" i="103"/>
  <c r="BD32" i="103"/>
  <c r="BC32" i="103"/>
  <c r="AO32" i="103"/>
  <c r="AD32" i="103"/>
  <c r="Z32" i="103"/>
  <c r="X32" i="103" s="1"/>
  <c r="CJ32" i="103" s="1"/>
  <c r="W32" i="103"/>
  <c r="U32" i="103"/>
  <c r="T32" i="103"/>
  <c r="Q32" i="103"/>
  <c r="O32" i="103" s="1"/>
  <c r="M32" i="103"/>
  <c r="D32" i="103"/>
  <c r="EE31" i="103"/>
  <c r="EF31" i="103" s="1"/>
  <c r="DM31" i="103"/>
  <c r="DH31" i="103"/>
  <c r="DI31" i="103" s="1"/>
  <c r="DG31" i="103"/>
  <c r="DF31" i="103"/>
  <c r="CX31" i="103" s="1"/>
  <c r="DD31" i="103"/>
  <c r="CW31" i="103"/>
  <c r="DB31" i="103" s="1"/>
  <c r="CP31" i="103"/>
  <c r="CK31" i="103"/>
  <c r="CE31" i="103"/>
  <c r="CB31" i="103"/>
  <c r="CA31" i="103"/>
  <c r="BY31" i="103"/>
  <c r="BP31" i="103"/>
  <c r="BF31" i="103"/>
  <c r="BE31" i="103"/>
  <c r="BD31" i="103"/>
  <c r="BC31" i="103"/>
  <c r="AO31" i="103"/>
  <c r="AD31" i="103"/>
  <c r="Z31" i="103"/>
  <c r="W31" i="103"/>
  <c r="U31" i="103"/>
  <c r="T31" i="103"/>
  <c r="Q31" i="103"/>
  <c r="O31" i="103" s="1"/>
  <c r="M31" i="103"/>
  <c r="D31" i="103"/>
  <c r="EE15" i="103"/>
  <c r="EF15" i="103" s="1"/>
  <c r="DM15" i="103"/>
  <c r="DH15" i="103"/>
  <c r="DI15" i="103" s="1"/>
  <c r="DG15" i="103"/>
  <c r="DF15" i="103"/>
  <c r="CX15" i="103" s="1"/>
  <c r="DD15" i="103"/>
  <c r="CW15" i="103"/>
  <c r="DB15" i="103" s="1"/>
  <c r="CP15" i="103"/>
  <c r="CK15" i="103"/>
  <c r="CE15" i="103"/>
  <c r="CB15" i="103"/>
  <c r="CA15" i="103"/>
  <c r="BY15" i="103"/>
  <c r="BP15" i="103"/>
  <c r="BF15" i="103"/>
  <c r="BE15" i="103"/>
  <c r="BD15" i="103"/>
  <c r="BC15" i="103"/>
  <c r="AO15" i="103"/>
  <c r="AD15" i="103"/>
  <c r="Z15" i="103"/>
  <c r="W15" i="103"/>
  <c r="U15" i="103"/>
  <c r="T15" i="103"/>
  <c r="Q15" i="103"/>
  <c r="O15" i="103" s="1"/>
  <c r="M15" i="103"/>
  <c r="D15" i="103"/>
  <c r="EE14" i="103"/>
  <c r="EF14" i="103" s="1"/>
  <c r="DM14" i="103"/>
  <c r="DH14" i="103"/>
  <c r="DI14" i="103" s="1"/>
  <c r="DG14" i="103"/>
  <c r="DF14" i="103"/>
  <c r="CX14" i="103" s="1"/>
  <c r="DD14" i="103"/>
  <c r="CW14" i="103"/>
  <c r="DB14" i="103" s="1"/>
  <c r="CP14" i="103"/>
  <c r="CK14" i="103"/>
  <c r="CE14" i="103"/>
  <c r="CB14" i="103"/>
  <c r="CA14" i="103"/>
  <c r="BY14" i="103"/>
  <c r="BP14" i="103"/>
  <c r="BF14" i="103"/>
  <c r="BE14" i="103"/>
  <c r="BD14" i="103"/>
  <c r="BC14" i="103"/>
  <c r="AO14" i="103"/>
  <c r="AD14" i="103"/>
  <c r="Z14" i="103"/>
  <c r="W14" i="103"/>
  <c r="U14" i="103"/>
  <c r="T14" i="103"/>
  <c r="Q14" i="103"/>
  <c r="O14" i="103" s="1"/>
  <c r="M14" i="103"/>
  <c r="D14" i="103"/>
  <c r="EE35" i="103"/>
  <c r="EF35" i="103" s="1"/>
  <c r="DM35" i="103"/>
  <c r="DH35" i="103"/>
  <c r="DL35" i="103" s="1"/>
  <c r="DG35" i="103"/>
  <c r="DF35" i="103"/>
  <c r="CX35" i="103" s="1"/>
  <c r="DD35" i="103"/>
  <c r="CW35" i="103"/>
  <c r="DA35" i="103" s="1"/>
  <c r="CP35" i="103"/>
  <c r="CK35" i="103"/>
  <c r="CE35" i="103"/>
  <c r="CB35" i="103"/>
  <c r="CA35" i="103"/>
  <c r="BY35" i="103"/>
  <c r="BP35" i="103"/>
  <c r="BF35" i="103"/>
  <c r="BE35" i="103"/>
  <c r="BD35" i="103"/>
  <c r="BC35" i="103"/>
  <c r="AO35" i="103"/>
  <c r="AD35" i="103"/>
  <c r="BB35" i="103" s="1"/>
  <c r="Z35" i="103"/>
  <c r="W35" i="103"/>
  <c r="U35" i="103"/>
  <c r="T35" i="103"/>
  <c r="Q35" i="103"/>
  <c r="O35" i="103" s="1"/>
  <c r="M35" i="103"/>
  <c r="D35" i="103"/>
  <c r="EE34" i="103"/>
  <c r="EF34" i="103" s="1"/>
  <c r="DM34" i="103"/>
  <c r="DH34" i="103"/>
  <c r="DL34" i="103" s="1"/>
  <c r="DG34" i="103"/>
  <c r="DF34" i="103"/>
  <c r="CX34" i="103" s="1"/>
  <c r="DD34" i="103"/>
  <c r="CW34" i="103"/>
  <c r="DA34" i="103" s="1"/>
  <c r="CP34" i="103"/>
  <c r="CK34" i="103"/>
  <c r="CE34" i="103"/>
  <c r="CB34" i="103"/>
  <c r="CA34" i="103"/>
  <c r="BY34" i="103"/>
  <c r="BP34" i="103"/>
  <c r="BF34" i="103"/>
  <c r="BE34" i="103"/>
  <c r="BB34" i="103" s="1"/>
  <c r="CD34" i="103" s="1"/>
  <c r="BD34" i="103"/>
  <c r="BC34" i="103"/>
  <c r="AP34" i="103"/>
  <c r="AO34" i="103"/>
  <c r="Z34" i="103"/>
  <c r="W34" i="103"/>
  <c r="U34" i="103"/>
  <c r="T34" i="103"/>
  <c r="Q34" i="103"/>
  <c r="O34" i="103" s="1"/>
  <c r="M34" i="103"/>
  <c r="D34" i="103"/>
  <c r="EE33" i="103"/>
  <c r="EF33" i="103" s="1"/>
  <c r="DM33" i="103"/>
  <c r="DH33" i="103"/>
  <c r="DL33" i="103" s="1"/>
  <c r="DG33" i="103"/>
  <c r="DF33" i="103"/>
  <c r="DD33" i="103"/>
  <c r="CX33" i="103"/>
  <c r="CW33" i="103"/>
  <c r="DA33" i="103" s="1"/>
  <c r="CP33" i="103"/>
  <c r="CK33" i="103"/>
  <c r="CE33" i="103"/>
  <c r="CB33" i="103"/>
  <c r="CA33" i="103"/>
  <c r="BY33" i="103"/>
  <c r="BP33" i="103"/>
  <c r="BF33" i="103"/>
  <c r="BE33" i="103"/>
  <c r="BD33" i="103"/>
  <c r="BC33" i="103"/>
  <c r="AO33" i="103"/>
  <c r="Z33" i="103"/>
  <c r="W33" i="103"/>
  <c r="U33" i="103"/>
  <c r="T33" i="103"/>
  <c r="Q33" i="103"/>
  <c r="O33" i="103" s="1"/>
  <c r="M33" i="103"/>
  <c r="D33" i="103"/>
  <c r="EE30" i="103"/>
  <c r="EF30" i="103" s="1"/>
  <c r="DM30" i="103"/>
  <c r="DH30" i="103"/>
  <c r="DI30" i="103" s="1"/>
  <c r="DG30" i="103"/>
  <c r="DF30" i="103"/>
  <c r="DD30" i="103"/>
  <c r="CW30" i="103"/>
  <c r="CP30" i="103"/>
  <c r="CK30" i="103"/>
  <c r="CE30" i="103"/>
  <c r="CB30" i="103"/>
  <c r="CA30" i="103"/>
  <c r="BY30" i="103"/>
  <c r="BP30" i="103"/>
  <c r="BF30" i="103"/>
  <c r="BE30" i="103"/>
  <c r="BD30" i="103"/>
  <c r="BC30" i="103"/>
  <c r="AO30" i="103"/>
  <c r="AD30" i="103"/>
  <c r="BB30" i="103" s="1"/>
  <c r="CD30" i="103" s="1"/>
  <c r="Z30" i="103"/>
  <c r="W30" i="103"/>
  <c r="U30" i="103"/>
  <c r="T30" i="103"/>
  <c r="Q30" i="103"/>
  <c r="O30" i="103" s="1"/>
  <c r="M30" i="103"/>
  <c r="D30" i="103"/>
  <c r="EE29" i="103"/>
  <c r="EF29" i="103" s="1"/>
  <c r="DM29" i="103"/>
  <c r="DH29" i="103"/>
  <c r="DL29" i="103" s="1"/>
  <c r="DG29" i="103"/>
  <c r="DF29" i="103"/>
  <c r="DD29" i="103"/>
  <c r="CX29" i="103"/>
  <c r="CW29" i="103"/>
  <c r="DA29" i="103" s="1"/>
  <c r="CP29" i="103"/>
  <c r="CK29" i="103"/>
  <c r="CE29" i="103"/>
  <c r="CB29" i="103"/>
  <c r="CA29" i="103"/>
  <c r="BY29" i="103"/>
  <c r="BF29" i="103" s="1"/>
  <c r="BP29" i="103"/>
  <c r="BE29" i="103"/>
  <c r="BB29" i="103" s="1"/>
  <c r="CD29" i="103" s="1"/>
  <c r="BD29" i="103"/>
  <c r="BC29" i="103"/>
  <c r="AP29" i="103"/>
  <c r="AO29" i="103"/>
  <c r="Z29" i="103"/>
  <c r="W29" i="103"/>
  <c r="U29" i="103"/>
  <c r="T29" i="103"/>
  <c r="Q29" i="103"/>
  <c r="O29" i="103" s="1"/>
  <c r="M29" i="103"/>
  <c r="D29" i="103"/>
  <c r="EE28" i="103"/>
  <c r="EF28" i="103" s="1"/>
  <c r="DM28" i="103"/>
  <c r="DH28" i="103"/>
  <c r="DL28" i="103" s="1"/>
  <c r="DG28" i="103"/>
  <c r="DF28" i="103"/>
  <c r="DD28" i="103"/>
  <c r="CX28" i="103"/>
  <c r="CW28" i="103"/>
  <c r="DA28" i="103" s="1"/>
  <c r="CP28" i="103"/>
  <c r="CK28" i="103"/>
  <c r="CE28" i="103"/>
  <c r="CB28" i="103"/>
  <c r="CA28" i="103"/>
  <c r="BY28" i="103"/>
  <c r="BP28" i="103"/>
  <c r="BF28" i="103"/>
  <c r="BE28" i="103"/>
  <c r="BD28" i="103"/>
  <c r="BC28" i="103"/>
  <c r="AP28" i="103"/>
  <c r="AO28" i="103"/>
  <c r="Z28" i="103"/>
  <c r="W28" i="103"/>
  <c r="U28" i="103"/>
  <c r="T28" i="103"/>
  <c r="Q28" i="103"/>
  <c r="O28" i="103" s="1"/>
  <c r="M28" i="103"/>
  <c r="D28" i="103"/>
  <c r="DM27" i="103"/>
  <c r="DH27" i="103"/>
  <c r="DI27" i="103" s="1"/>
  <c r="DG27" i="103"/>
  <c r="DF27" i="103"/>
  <c r="DD27" i="103"/>
  <c r="CW27" i="103"/>
  <c r="CY27" i="103" s="1"/>
  <c r="CP27" i="103"/>
  <c r="CK27" i="103"/>
  <c r="CE27" i="103"/>
  <c r="CB27" i="103"/>
  <c r="CA27" i="103"/>
  <c r="BY27" i="103"/>
  <c r="BP27" i="103"/>
  <c r="BF27" i="103"/>
  <c r="BE27" i="103"/>
  <c r="BD27" i="103"/>
  <c r="BC27" i="103"/>
  <c r="AO27" i="103"/>
  <c r="AD27" i="103"/>
  <c r="Z27" i="103"/>
  <c r="W27" i="103"/>
  <c r="U27" i="103"/>
  <c r="T27" i="103"/>
  <c r="Q27" i="103"/>
  <c r="O27" i="103" s="1"/>
  <c r="M27" i="103"/>
  <c r="D27" i="103"/>
  <c r="EE25" i="103"/>
  <c r="EF25" i="103" s="1"/>
  <c r="DM25" i="103"/>
  <c r="DH25" i="103"/>
  <c r="DL25" i="103" s="1"/>
  <c r="DG25" i="103"/>
  <c r="DF25" i="103"/>
  <c r="DD25" i="103"/>
  <c r="CX25" i="103"/>
  <c r="CW25" i="103"/>
  <c r="DA25" i="103" s="1"/>
  <c r="CP25" i="103"/>
  <c r="CK25" i="103"/>
  <c r="CE25" i="103"/>
  <c r="CB25" i="103"/>
  <c r="CA25" i="103"/>
  <c r="BY25" i="103"/>
  <c r="BP25" i="103"/>
  <c r="BF25" i="103"/>
  <c r="BE25" i="103"/>
  <c r="BD25" i="103"/>
  <c r="BC25" i="103"/>
  <c r="AP25" i="103"/>
  <c r="AO25" i="103"/>
  <c r="Z25" i="103"/>
  <c r="W25" i="103"/>
  <c r="U25" i="103"/>
  <c r="T25" i="103"/>
  <c r="Q25" i="103"/>
  <c r="O25" i="103" s="1"/>
  <c r="M25" i="103"/>
  <c r="D25" i="103"/>
  <c r="DM24" i="103"/>
  <c r="DH24" i="103"/>
  <c r="DI24" i="103" s="1"/>
  <c r="DG24" i="103"/>
  <c r="DF24" i="103"/>
  <c r="DD24" i="103"/>
  <c r="CW24" i="103"/>
  <c r="CP24" i="103"/>
  <c r="CK24" i="103"/>
  <c r="CE24" i="103"/>
  <c r="CB24" i="103"/>
  <c r="CA24" i="103"/>
  <c r="BY24" i="103"/>
  <c r="BP24" i="103"/>
  <c r="BF24" i="103"/>
  <c r="BE24" i="103"/>
  <c r="AD24" i="103" s="1"/>
  <c r="BB24" i="103" s="1"/>
  <c r="BD24" i="103"/>
  <c r="BC24" i="103"/>
  <c r="AO24" i="103"/>
  <c r="Z24" i="103"/>
  <c r="W24" i="103"/>
  <c r="U24" i="103"/>
  <c r="T24" i="103"/>
  <c r="Q24" i="103"/>
  <c r="O24" i="103" s="1"/>
  <c r="M24" i="103"/>
  <c r="D24" i="103"/>
  <c r="EE23" i="103"/>
  <c r="EF23" i="103" s="1"/>
  <c r="DM23" i="103"/>
  <c r="DH23" i="103"/>
  <c r="DL23" i="103" s="1"/>
  <c r="DG23" i="103"/>
  <c r="DF23" i="103"/>
  <c r="DD23" i="103"/>
  <c r="CX23" i="103"/>
  <c r="CW23" i="103"/>
  <c r="DA23" i="103" s="1"/>
  <c r="CP23" i="103"/>
  <c r="CK23" i="103"/>
  <c r="CE23" i="103"/>
  <c r="CB23" i="103"/>
  <c r="CA23" i="103"/>
  <c r="BY23" i="103"/>
  <c r="BP23" i="103"/>
  <c r="BF23" i="103"/>
  <c r="BE23" i="103"/>
  <c r="BD23" i="103"/>
  <c r="BC23" i="103"/>
  <c r="AO23" i="103"/>
  <c r="Z23" i="103"/>
  <c r="W23" i="103"/>
  <c r="U23" i="103"/>
  <c r="T23" i="103"/>
  <c r="Q23" i="103"/>
  <c r="O23" i="103" s="1"/>
  <c r="M23" i="103"/>
  <c r="D23" i="103"/>
  <c r="EE22" i="103"/>
  <c r="EF22" i="103" s="1"/>
  <c r="DM22" i="103"/>
  <c r="DH22" i="103"/>
  <c r="DI22" i="103" s="1"/>
  <c r="DG22" i="103"/>
  <c r="DF22" i="103"/>
  <c r="CX22" i="103" s="1"/>
  <c r="DD22" i="103"/>
  <c r="CW22" i="103"/>
  <c r="DB22" i="103" s="1"/>
  <c r="CP22" i="103"/>
  <c r="CK22" i="103"/>
  <c r="CE22" i="103"/>
  <c r="CB22" i="103"/>
  <c r="CA22" i="103"/>
  <c r="BY22" i="103"/>
  <c r="BF22" i="103" s="1"/>
  <c r="BP22" i="103"/>
  <c r="BE22" i="103"/>
  <c r="BD22" i="103"/>
  <c r="BC22" i="103"/>
  <c r="AO22" i="103"/>
  <c r="AD22" i="103"/>
  <c r="Z22" i="103"/>
  <c r="W22" i="103"/>
  <c r="U22" i="103"/>
  <c r="T22" i="103"/>
  <c r="Q22" i="103"/>
  <c r="O22" i="103" s="1"/>
  <c r="M22" i="103"/>
  <c r="D22" i="103"/>
  <c r="EE21" i="103"/>
  <c r="EF21" i="103" s="1"/>
  <c r="DM21" i="103"/>
  <c r="DH21" i="103"/>
  <c r="DL21" i="103" s="1"/>
  <c r="DG21" i="103"/>
  <c r="DF21" i="103"/>
  <c r="DD21" i="103"/>
  <c r="CX21" i="103"/>
  <c r="CW21" i="103"/>
  <c r="DA21" i="103" s="1"/>
  <c r="CP21" i="103"/>
  <c r="CK21" i="103"/>
  <c r="CE21" i="103"/>
  <c r="CB21" i="103"/>
  <c r="CA21" i="103"/>
  <c r="BY21" i="103"/>
  <c r="BP21" i="103"/>
  <c r="BF21" i="103"/>
  <c r="BE21" i="103"/>
  <c r="BD21" i="103"/>
  <c r="BC21" i="103"/>
  <c r="AO21" i="103"/>
  <c r="Z21" i="103"/>
  <c r="W21" i="103"/>
  <c r="U21" i="103"/>
  <c r="T21" i="103"/>
  <c r="Q21" i="103"/>
  <c r="O21" i="103" s="1"/>
  <c r="M21" i="103"/>
  <c r="D21" i="103"/>
  <c r="EE20" i="103"/>
  <c r="EF20" i="103" s="1"/>
  <c r="DM20" i="103"/>
  <c r="DH20" i="103"/>
  <c r="DI20" i="103" s="1"/>
  <c r="DG20" i="103"/>
  <c r="DF20" i="103"/>
  <c r="CX20" i="103" s="1"/>
  <c r="DD20" i="103"/>
  <c r="CW20" i="103"/>
  <c r="DB20" i="103" s="1"/>
  <c r="CP20" i="103"/>
  <c r="CK20" i="103"/>
  <c r="CE20" i="103"/>
  <c r="CB20" i="103"/>
  <c r="CA20" i="103"/>
  <c r="BY20" i="103"/>
  <c r="BP20" i="103"/>
  <c r="BF20" i="103"/>
  <c r="BE20" i="103"/>
  <c r="AD20" i="103" s="1"/>
  <c r="BD20" i="103"/>
  <c r="BC20" i="103"/>
  <c r="AO20" i="103"/>
  <c r="Z20" i="103"/>
  <c r="W20" i="103"/>
  <c r="U20" i="103"/>
  <c r="T20" i="103"/>
  <c r="Q20" i="103"/>
  <c r="O20" i="103" s="1"/>
  <c r="M20" i="103"/>
  <c r="D20" i="103"/>
  <c r="EE19" i="103"/>
  <c r="EF19" i="103" s="1"/>
  <c r="DM19" i="103"/>
  <c r="DH19" i="103"/>
  <c r="DI19" i="103" s="1"/>
  <c r="DG19" i="103"/>
  <c r="DF19" i="103"/>
  <c r="CX19" i="103" s="1"/>
  <c r="DD19" i="103"/>
  <c r="CW19" i="103"/>
  <c r="DB19" i="103" s="1"/>
  <c r="CP19" i="103"/>
  <c r="CK19" i="103"/>
  <c r="CE19" i="103"/>
  <c r="CB19" i="103"/>
  <c r="CA19" i="103"/>
  <c r="BY19" i="103"/>
  <c r="BP19" i="103"/>
  <c r="BF19" i="103"/>
  <c r="BE19" i="103"/>
  <c r="BD19" i="103"/>
  <c r="BC19" i="103"/>
  <c r="AO19" i="103"/>
  <c r="AD19" i="103"/>
  <c r="Z19" i="103"/>
  <c r="W19" i="103"/>
  <c r="U19" i="103"/>
  <c r="T19" i="103"/>
  <c r="Q19" i="103"/>
  <c r="O19" i="103" s="1"/>
  <c r="M19" i="103"/>
  <c r="D19" i="103"/>
  <c r="DM18" i="103"/>
  <c r="DH18" i="103"/>
  <c r="DL18" i="103" s="1"/>
  <c r="DG18" i="103"/>
  <c r="DF18" i="103"/>
  <c r="DD18" i="103"/>
  <c r="CX18" i="103"/>
  <c r="CW18" i="103"/>
  <c r="DA18" i="103" s="1"/>
  <c r="CP18" i="103"/>
  <c r="CK18" i="103"/>
  <c r="CE18" i="103"/>
  <c r="CB18" i="103"/>
  <c r="CA18" i="103"/>
  <c r="BY18" i="103"/>
  <c r="BP18" i="103"/>
  <c r="BF18" i="103"/>
  <c r="BE18" i="103"/>
  <c r="BD18" i="103"/>
  <c r="BC18" i="103"/>
  <c r="AO18" i="103"/>
  <c r="Z18" i="103"/>
  <c r="W18" i="103"/>
  <c r="U18" i="103"/>
  <c r="T18" i="103"/>
  <c r="Q18" i="103"/>
  <c r="O18" i="103" s="1"/>
  <c r="M18" i="103"/>
  <c r="D18" i="103"/>
  <c r="EE17" i="103"/>
  <c r="EF17" i="103" s="1"/>
  <c r="DM17" i="103"/>
  <c r="DH17" i="103"/>
  <c r="DI17" i="103" s="1"/>
  <c r="DG17" i="103"/>
  <c r="DF17" i="103"/>
  <c r="CX17" i="103" s="1"/>
  <c r="DD17" i="103"/>
  <c r="CW17" i="103"/>
  <c r="DB17" i="103" s="1"/>
  <c r="CP17" i="103"/>
  <c r="CK17" i="103"/>
  <c r="CE17" i="103"/>
  <c r="CB17" i="103"/>
  <c r="CA17" i="103"/>
  <c r="BY17" i="103"/>
  <c r="BP17" i="103"/>
  <c r="BF17" i="103"/>
  <c r="BE17" i="103"/>
  <c r="BB17" i="103" s="1"/>
  <c r="BD17" i="103"/>
  <c r="BC17" i="103"/>
  <c r="AP17" i="103"/>
  <c r="AO17" i="103"/>
  <c r="Z17" i="103"/>
  <c r="W17" i="103"/>
  <c r="U17" i="103"/>
  <c r="T17" i="103"/>
  <c r="Q17" i="103"/>
  <c r="O17" i="103" s="1"/>
  <c r="M17" i="103"/>
  <c r="D17" i="103"/>
  <c r="EE16" i="103"/>
  <c r="EF16" i="103" s="1"/>
  <c r="DM16" i="103"/>
  <c r="DH16" i="103"/>
  <c r="DL16" i="103" s="1"/>
  <c r="DG16" i="103"/>
  <c r="DF16" i="103"/>
  <c r="DD16" i="103"/>
  <c r="CX16" i="103"/>
  <c r="CW16" i="103"/>
  <c r="DA16" i="103" s="1"/>
  <c r="CP16" i="103"/>
  <c r="CK16" i="103"/>
  <c r="CE16" i="103"/>
  <c r="CB16" i="103"/>
  <c r="CA16" i="103"/>
  <c r="BY16" i="103"/>
  <c r="BP16" i="103"/>
  <c r="BF16" i="103"/>
  <c r="BE16" i="103"/>
  <c r="BD16" i="103"/>
  <c r="BC16" i="103"/>
  <c r="AO16" i="103"/>
  <c r="Z16" i="103"/>
  <c r="W16" i="103"/>
  <c r="U16" i="103"/>
  <c r="T16" i="103"/>
  <c r="Q16" i="103"/>
  <c r="O16" i="103" s="1"/>
  <c r="M16" i="103"/>
  <c r="D16" i="103"/>
  <c r="EE74" i="103"/>
  <c r="EF74" i="103" s="1"/>
  <c r="DM74" i="103"/>
  <c r="DH74" i="103"/>
  <c r="DL74" i="103" s="1"/>
  <c r="DG74" i="103"/>
  <c r="DF74" i="103"/>
  <c r="DD74" i="103"/>
  <c r="CX74" i="103"/>
  <c r="CW74" i="103"/>
  <c r="DA74" i="103" s="1"/>
  <c r="CP74" i="103"/>
  <c r="CK74" i="103"/>
  <c r="CE74" i="103"/>
  <c r="CB74" i="103"/>
  <c r="CA74" i="103"/>
  <c r="BY74" i="103"/>
  <c r="BP74" i="103"/>
  <c r="BF74" i="103"/>
  <c r="BE74" i="103"/>
  <c r="BD74" i="103"/>
  <c r="BC74" i="103"/>
  <c r="AO74" i="103"/>
  <c r="Z74" i="103"/>
  <c r="W74" i="103"/>
  <c r="U74" i="103"/>
  <c r="T74" i="103"/>
  <c r="Q74" i="103"/>
  <c r="O74" i="103" s="1"/>
  <c r="M74" i="103"/>
  <c r="D74" i="103"/>
  <c r="EE73" i="103"/>
  <c r="EF73" i="103" s="1"/>
  <c r="DM73" i="103"/>
  <c r="DH73" i="103"/>
  <c r="DI73" i="103" s="1"/>
  <c r="DG73" i="103"/>
  <c r="DF73" i="103"/>
  <c r="DD73" i="103"/>
  <c r="CW73" i="103"/>
  <c r="CY73" i="103" s="1"/>
  <c r="CP73" i="103"/>
  <c r="CK73" i="103"/>
  <c r="CE73" i="103"/>
  <c r="CB73" i="103"/>
  <c r="CA73" i="103"/>
  <c r="BY73" i="103"/>
  <c r="BP73" i="103"/>
  <c r="BF73" i="103"/>
  <c r="BE73" i="103"/>
  <c r="BD73" i="103"/>
  <c r="BC73" i="103"/>
  <c r="AO73" i="103"/>
  <c r="AD73" i="103"/>
  <c r="BB73" i="103" s="1"/>
  <c r="Z73" i="103"/>
  <c r="W73" i="103"/>
  <c r="U73" i="103"/>
  <c r="T73" i="103"/>
  <c r="Q73" i="103"/>
  <c r="O73" i="103" s="1"/>
  <c r="M73" i="103"/>
  <c r="D73" i="103"/>
  <c r="EE72" i="103"/>
  <c r="EF72" i="103" s="1"/>
  <c r="DM72" i="103"/>
  <c r="DH72" i="103"/>
  <c r="DL72" i="103" s="1"/>
  <c r="DG72" i="103"/>
  <c r="DF72" i="103"/>
  <c r="DD72" i="103"/>
  <c r="CX72" i="103"/>
  <c r="CW72" i="103"/>
  <c r="DA72" i="103" s="1"/>
  <c r="CP72" i="103"/>
  <c r="CK72" i="103"/>
  <c r="CE72" i="103"/>
  <c r="CB72" i="103"/>
  <c r="CA72" i="103"/>
  <c r="BY72" i="103"/>
  <c r="BP72" i="103"/>
  <c r="BF72" i="103"/>
  <c r="BE72" i="103"/>
  <c r="BD72" i="103"/>
  <c r="BC72" i="103"/>
  <c r="AO72" i="103"/>
  <c r="Z72" i="103"/>
  <c r="W72" i="103"/>
  <c r="U72" i="103"/>
  <c r="T72" i="103"/>
  <c r="Q72" i="103"/>
  <c r="O72" i="103" s="1"/>
  <c r="M72" i="103"/>
  <c r="D72" i="103"/>
  <c r="EE71" i="103"/>
  <c r="EF71" i="103" s="1"/>
  <c r="DM71" i="103"/>
  <c r="DH71" i="103"/>
  <c r="DI71" i="103" s="1"/>
  <c r="DG71" i="103"/>
  <c r="DF71" i="103"/>
  <c r="DD71" i="103"/>
  <c r="CW71" i="103"/>
  <c r="CY71" i="103" s="1"/>
  <c r="CP71" i="103"/>
  <c r="CK71" i="103"/>
  <c r="CE71" i="103"/>
  <c r="CB71" i="103"/>
  <c r="CA71" i="103"/>
  <c r="BY71" i="103"/>
  <c r="BP71" i="103"/>
  <c r="BF71" i="103"/>
  <c r="BE71" i="103"/>
  <c r="BB71" i="103" s="1"/>
  <c r="CD71" i="103" s="1"/>
  <c r="BD71" i="103"/>
  <c r="BC71" i="103"/>
  <c r="AP71" i="103"/>
  <c r="AO71" i="103"/>
  <c r="Z71" i="103"/>
  <c r="W71" i="103"/>
  <c r="U71" i="103"/>
  <c r="T71" i="103"/>
  <c r="Q71" i="103"/>
  <c r="O71" i="103" s="1"/>
  <c r="M71" i="103"/>
  <c r="D71" i="103"/>
  <c r="EE70" i="103"/>
  <c r="EF70" i="103" s="1"/>
  <c r="DM70" i="103"/>
  <c r="DH70" i="103"/>
  <c r="DL70" i="103" s="1"/>
  <c r="DG70" i="103"/>
  <c r="DF70" i="103"/>
  <c r="DD70" i="103"/>
  <c r="CX70" i="103"/>
  <c r="CW70" i="103"/>
  <c r="DA70" i="103" s="1"/>
  <c r="CP70" i="103"/>
  <c r="CK70" i="103"/>
  <c r="CE70" i="103"/>
  <c r="CB70" i="103"/>
  <c r="CA70" i="103"/>
  <c r="BY70" i="103"/>
  <c r="BP70" i="103"/>
  <c r="BF70" i="103"/>
  <c r="BE70" i="103"/>
  <c r="BD70" i="103"/>
  <c r="BC70" i="103"/>
  <c r="AO70" i="103"/>
  <c r="Z70" i="103"/>
  <c r="W70" i="103"/>
  <c r="U70" i="103"/>
  <c r="T70" i="103"/>
  <c r="Q70" i="103"/>
  <c r="O70" i="103" s="1"/>
  <c r="M70" i="103"/>
  <c r="D70" i="103"/>
  <c r="EE69" i="103"/>
  <c r="EF69" i="103" s="1"/>
  <c r="DM69" i="103"/>
  <c r="DH69" i="103"/>
  <c r="DI69" i="103" s="1"/>
  <c r="DG69" i="103"/>
  <c r="DF69" i="103"/>
  <c r="DD69" i="103"/>
  <c r="CW69" i="103"/>
  <c r="CY69" i="103" s="1"/>
  <c r="CP69" i="103"/>
  <c r="CK69" i="103"/>
  <c r="CE69" i="103"/>
  <c r="CB69" i="103"/>
  <c r="CA69" i="103"/>
  <c r="BY69" i="103"/>
  <c r="BP69" i="103"/>
  <c r="BF69" i="103"/>
  <c r="BE69" i="103"/>
  <c r="BD69" i="103"/>
  <c r="BC69" i="103"/>
  <c r="AO69" i="103"/>
  <c r="AD69" i="103"/>
  <c r="BB69" i="103" s="1"/>
  <c r="Z69" i="103"/>
  <c r="W69" i="103"/>
  <c r="U69" i="103"/>
  <c r="T69" i="103"/>
  <c r="Q69" i="103"/>
  <c r="O69" i="103" s="1"/>
  <c r="M69" i="103"/>
  <c r="D69" i="103"/>
  <c r="EE68" i="103"/>
  <c r="EF68" i="103" s="1"/>
  <c r="DM68" i="103"/>
  <c r="DH68" i="103"/>
  <c r="DG68" i="103"/>
  <c r="CV68" i="103" s="1"/>
  <c r="EN68" i="103" s="1"/>
  <c r="DF68" i="103"/>
  <c r="DD68" i="103"/>
  <c r="CX68" i="103"/>
  <c r="CW68" i="103"/>
  <c r="DA68" i="103" s="1"/>
  <c r="CP68" i="103"/>
  <c r="CK68" i="103"/>
  <c r="CE68" i="103"/>
  <c r="CB68" i="103"/>
  <c r="CA68" i="103"/>
  <c r="BY68" i="103"/>
  <c r="BP68" i="103"/>
  <c r="BF68" i="103"/>
  <c r="BE68" i="103"/>
  <c r="BB68" i="103" s="1"/>
  <c r="BD68" i="103"/>
  <c r="BC68" i="103"/>
  <c r="AP68" i="103"/>
  <c r="AO68" i="103"/>
  <c r="Z68" i="103"/>
  <c r="W68" i="103"/>
  <c r="U68" i="103"/>
  <c r="T68" i="103"/>
  <c r="Q68" i="103"/>
  <c r="O68" i="103" s="1"/>
  <c r="M68" i="103"/>
  <c r="D68" i="103"/>
  <c r="EE67" i="103"/>
  <c r="EF67" i="103" s="1"/>
  <c r="DM67" i="103"/>
  <c r="DH67" i="103"/>
  <c r="DG67" i="103"/>
  <c r="DF67" i="103"/>
  <c r="DD67" i="103"/>
  <c r="CX67" i="103"/>
  <c r="CW67" i="103"/>
  <c r="DA67" i="103" s="1"/>
  <c r="CP67" i="103"/>
  <c r="CK67" i="103"/>
  <c r="CE67" i="103"/>
  <c r="CB67" i="103"/>
  <c r="CA67" i="103"/>
  <c r="BY67" i="103"/>
  <c r="BP67" i="103"/>
  <c r="BF67" i="103"/>
  <c r="BE67" i="103"/>
  <c r="BD67" i="103"/>
  <c r="BC67" i="103"/>
  <c r="AP67" i="103"/>
  <c r="AO67" i="103"/>
  <c r="Z67" i="103"/>
  <c r="W67" i="103"/>
  <c r="U67" i="103"/>
  <c r="T67" i="103"/>
  <c r="Q67" i="103"/>
  <c r="O67" i="103" s="1"/>
  <c r="M67" i="103"/>
  <c r="D67" i="103"/>
  <c r="DM66" i="103"/>
  <c r="DH66" i="103"/>
  <c r="DG66" i="103"/>
  <c r="DF66" i="103"/>
  <c r="DD66" i="103"/>
  <c r="CW66" i="103"/>
  <c r="CY66" i="103" s="1"/>
  <c r="CP66" i="103"/>
  <c r="CK66" i="103"/>
  <c r="CE66" i="103"/>
  <c r="CB66" i="103"/>
  <c r="CA66" i="103"/>
  <c r="BY66" i="103"/>
  <c r="BP66" i="103"/>
  <c r="BF66" i="103"/>
  <c r="BE66" i="103"/>
  <c r="AD66" i="103" s="1"/>
  <c r="BB66" i="103" s="1"/>
  <c r="BD66" i="103"/>
  <c r="BC66" i="103"/>
  <c r="AO66" i="103"/>
  <c r="Z66" i="103"/>
  <c r="W66" i="103"/>
  <c r="U66" i="103"/>
  <c r="T66" i="103"/>
  <c r="Q66" i="103"/>
  <c r="O66" i="103" s="1"/>
  <c r="M66" i="103"/>
  <c r="D66" i="103"/>
  <c r="EE65" i="103"/>
  <c r="EF65" i="103" s="1"/>
  <c r="DM65" i="103"/>
  <c r="DH65" i="103"/>
  <c r="DG65" i="103"/>
  <c r="CV65" i="103" s="1"/>
  <c r="DF65" i="103"/>
  <c r="DD65" i="103"/>
  <c r="CX65" i="103"/>
  <c r="CW65" i="103"/>
  <c r="DA65" i="103" s="1"/>
  <c r="CP65" i="103"/>
  <c r="CK65" i="103"/>
  <c r="CE65" i="103"/>
  <c r="CB65" i="103"/>
  <c r="CA65" i="103"/>
  <c r="BY65" i="103"/>
  <c r="BP65" i="103"/>
  <c r="BF65" i="103"/>
  <c r="BE65" i="103"/>
  <c r="BD65" i="103"/>
  <c r="BC65" i="103"/>
  <c r="AP65" i="103"/>
  <c r="AO65" i="103"/>
  <c r="Z65" i="103"/>
  <c r="W65" i="103"/>
  <c r="U65" i="103"/>
  <c r="T65" i="103"/>
  <c r="Q65" i="103"/>
  <c r="O65" i="103" s="1"/>
  <c r="M65" i="103"/>
  <c r="D65" i="103"/>
  <c r="DM64" i="103"/>
  <c r="DH64" i="103"/>
  <c r="DI64" i="103" s="1"/>
  <c r="DG64" i="103"/>
  <c r="DF64" i="103"/>
  <c r="DD64" i="103"/>
  <c r="CW64" i="103"/>
  <c r="CY64" i="103" s="1"/>
  <c r="CP64" i="103"/>
  <c r="CK64" i="103"/>
  <c r="CE64" i="103"/>
  <c r="CB64" i="103"/>
  <c r="CA64" i="103"/>
  <c r="BY64" i="103"/>
  <c r="BP64" i="103"/>
  <c r="BF64" i="103"/>
  <c r="BE64" i="103"/>
  <c r="AD64" i="103" s="1"/>
  <c r="BB64" i="103" s="1"/>
  <c r="BD64" i="103"/>
  <c r="BC64" i="103"/>
  <c r="AO64" i="103"/>
  <c r="Z64" i="103"/>
  <c r="W64" i="103"/>
  <c r="U64" i="103"/>
  <c r="T64" i="103"/>
  <c r="Q64" i="103"/>
  <c r="O64" i="103" s="1"/>
  <c r="M64" i="103"/>
  <c r="D64" i="103"/>
  <c r="EE63" i="103"/>
  <c r="EF63" i="103" s="1"/>
  <c r="DM63" i="103"/>
  <c r="DH63" i="103"/>
  <c r="DG63" i="103"/>
  <c r="DF63" i="103"/>
  <c r="DD63" i="103"/>
  <c r="CX63" i="103"/>
  <c r="DB63" i="103" s="1"/>
  <c r="CW63" i="103"/>
  <c r="DA63" i="103" s="1"/>
  <c r="CP63" i="103"/>
  <c r="CK63" i="103"/>
  <c r="CE63" i="103"/>
  <c r="CB63" i="103"/>
  <c r="CA63" i="103"/>
  <c r="BY63" i="103"/>
  <c r="BP63" i="103"/>
  <c r="BF63" i="103"/>
  <c r="BE63" i="103"/>
  <c r="BD63" i="103"/>
  <c r="BC63" i="103"/>
  <c r="AO63" i="103"/>
  <c r="Z63" i="103"/>
  <c r="W63" i="103"/>
  <c r="U63" i="103"/>
  <c r="T63" i="103"/>
  <c r="Q63" i="103"/>
  <c r="O63" i="103" s="1"/>
  <c r="M63" i="103"/>
  <c r="D63" i="103"/>
  <c r="EE62" i="103"/>
  <c r="EF62" i="103" s="1"/>
  <c r="DM62" i="103"/>
  <c r="DH62" i="103"/>
  <c r="DG62" i="103"/>
  <c r="DF62" i="103"/>
  <c r="DD62" i="103"/>
  <c r="CW62" i="103"/>
  <c r="CY62" i="103" s="1"/>
  <c r="CP62" i="103"/>
  <c r="CK62" i="103"/>
  <c r="CE62" i="103"/>
  <c r="CB62" i="103"/>
  <c r="CA62" i="103"/>
  <c r="BY62" i="103"/>
  <c r="BP62" i="103"/>
  <c r="BF62" i="103"/>
  <c r="BE62" i="103"/>
  <c r="AD62" i="103" s="1"/>
  <c r="BB62" i="103" s="1"/>
  <c r="BD62" i="103"/>
  <c r="BC62" i="103"/>
  <c r="AO62" i="103"/>
  <c r="Z62" i="103"/>
  <c r="W62" i="103"/>
  <c r="U62" i="103"/>
  <c r="T62" i="103"/>
  <c r="Q62" i="103"/>
  <c r="O62" i="103" s="1"/>
  <c r="M62" i="103"/>
  <c r="D62" i="103"/>
  <c r="EE61" i="103"/>
  <c r="EF61" i="103" s="1"/>
  <c r="DM61" i="103"/>
  <c r="DH61" i="103"/>
  <c r="DG61" i="103"/>
  <c r="CV61" i="103" s="1"/>
  <c r="DF61" i="103"/>
  <c r="DD61" i="103"/>
  <c r="CX61" i="103"/>
  <c r="CW61" i="103"/>
  <c r="DA61" i="103" s="1"/>
  <c r="CP61" i="103"/>
  <c r="CK61" i="103"/>
  <c r="CE61" i="103"/>
  <c r="CB61" i="103"/>
  <c r="CA61" i="103"/>
  <c r="BY61" i="103"/>
  <c r="BP61" i="103"/>
  <c r="BF61" i="103"/>
  <c r="BE61" i="103"/>
  <c r="BD61" i="103"/>
  <c r="BC61" i="103"/>
  <c r="AO61" i="103"/>
  <c r="Z61" i="103"/>
  <c r="W61" i="103"/>
  <c r="U61" i="103"/>
  <c r="T61" i="103"/>
  <c r="Q61" i="103"/>
  <c r="O61" i="103" s="1"/>
  <c r="M61" i="103"/>
  <c r="D61" i="103"/>
  <c r="EE60" i="103"/>
  <c r="EF60" i="103" s="1"/>
  <c r="DM60" i="103"/>
  <c r="DH60" i="103"/>
  <c r="DI60" i="103" s="1"/>
  <c r="DG60" i="103"/>
  <c r="DF60" i="103"/>
  <c r="DD60" i="103"/>
  <c r="CW60" i="103"/>
  <c r="CY60" i="103" s="1"/>
  <c r="CP60" i="103"/>
  <c r="CK60" i="103"/>
  <c r="CE60" i="103"/>
  <c r="CB60" i="103"/>
  <c r="CA60" i="103"/>
  <c r="BY60" i="103"/>
  <c r="BF60" i="103" s="1"/>
  <c r="BP60" i="103"/>
  <c r="BE60" i="103"/>
  <c r="AD60" i="103" s="1"/>
  <c r="BB60" i="103" s="1"/>
  <c r="BD60" i="103"/>
  <c r="BC60" i="103"/>
  <c r="AO60" i="103"/>
  <c r="Z60" i="103"/>
  <c r="W60" i="103"/>
  <c r="U60" i="103"/>
  <c r="T60" i="103"/>
  <c r="Q60" i="103"/>
  <c r="O60" i="103" s="1"/>
  <c r="M60" i="103"/>
  <c r="D60" i="103"/>
  <c r="EF59" i="103"/>
  <c r="EE59" i="103"/>
  <c r="DM59" i="103"/>
  <c r="DH59" i="103"/>
  <c r="DL59" i="103" s="1"/>
  <c r="DG59" i="103"/>
  <c r="DF59" i="103"/>
  <c r="DD59" i="103"/>
  <c r="CX59" i="103"/>
  <c r="CW59" i="103"/>
  <c r="DA59" i="103" s="1"/>
  <c r="CP59" i="103"/>
  <c r="CK59" i="103"/>
  <c r="CE59" i="103"/>
  <c r="CB59" i="103"/>
  <c r="CA59" i="103"/>
  <c r="BY59" i="103"/>
  <c r="BF59" i="103" s="1"/>
  <c r="BP59" i="103"/>
  <c r="BE59" i="103"/>
  <c r="BD59" i="103"/>
  <c r="BC59" i="103"/>
  <c r="AO59" i="103"/>
  <c r="Z59" i="103"/>
  <c r="W59" i="103"/>
  <c r="U59" i="103"/>
  <c r="T59" i="103"/>
  <c r="Q59" i="103"/>
  <c r="O59" i="103" s="1"/>
  <c r="M59" i="103"/>
  <c r="D59" i="103"/>
  <c r="EE58" i="103"/>
  <c r="EF58" i="103" s="1"/>
  <c r="DM58" i="103"/>
  <c r="DH58" i="103"/>
  <c r="DI58" i="103" s="1"/>
  <c r="DG58" i="103"/>
  <c r="DF58" i="103"/>
  <c r="DD58" i="103"/>
  <c r="CW58" i="103"/>
  <c r="CY58" i="103" s="1"/>
  <c r="CP58" i="103"/>
  <c r="CK58" i="103"/>
  <c r="CE58" i="103"/>
  <c r="CB58" i="103"/>
  <c r="CA58" i="103"/>
  <c r="BY58" i="103"/>
  <c r="BP58" i="103"/>
  <c r="BF58" i="103"/>
  <c r="BE58" i="103"/>
  <c r="AD58" i="103" s="1"/>
  <c r="BB58" i="103" s="1"/>
  <c r="BD58" i="103"/>
  <c r="BC58" i="103"/>
  <c r="AO58" i="103"/>
  <c r="Z58" i="103"/>
  <c r="W58" i="103"/>
  <c r="U58" i="103"/>
  <c r="T58" i="103"/>
  <c r="Q58" i="103"/>
  <c r="O58" i="103" s="1"/>
  <c r="M58" i="103"/>
  <c r="D58" i="103"/>
  <c r="DM57" i="103"/>
  <c r="DH57" i="103"/>
  <c r="DL57" i="103" s="1"/>
  <c r="DG57" i="103"/>
  <c r="DF57" i="103"/>
  <c r="DD57" i="103"/>
  <c r="CX57" i="103"/>
  <c r="CW57" i="103"/>
  <c r="DA57" i="103" s="1"/>
  <c r="CP57" i="103"/>
  <c r="CK57" i="103"/>
  <c r="CE57" i="103"/>
  <c r="CB57" i="103"/>
  <c r="CA57" i="103"/>
  <c r="BY57" i="103"/>
  <c r="BP57" i="103"/>
  <c r="BF57" i="103"/>
  <c r="BE57" i="103"/>
  <c r="BD57" i="103"/>
  <c r="BC57" i="103"/>
  <c r="AO57" i="103"/>
  <c r="Z57" i="103"/>
  <c r="W57" i="103"/>
  <c r="U57" i="103"/>
  <c r="T57" i="103"/>
  <c r="Q57" i="103"/>
  <c r="O57" i="103" s="1"/>
  <c r="M57" i="103"/>
  <c r="D57" i="103"/>
  <c r="EE56" i="103"/>
  <c r="EF56" i="103" s="1"/>
  <c r="DM56" i="103"/>
  <c r="DH56" i="103"/>
  <c r="DL56" i="103" s="1"/>
  <c r="DG56" i="103"/>
  <c r="DF56" i="103"/>
  <c r="CX56" i="103" s="1"/>
  <c r="DD56" i="103"/>
  <c r="CW56" i="103"/>
  <c r="DA56" i="103" s="1"/>
  <c r="CP56" i="103"/>
  <c r="CK56" i="103"/>
  <c r="CE56" i="103"/>
  <c r="CB56" i="103"/>
  <c r="CA56" i="103"/>
  <c r="BY56" i="103"/>
  <c r="BF56" i="103" s="1"/>
  <c r="BP56" i="103"/>
  <c r="BE56" i="103"/>
  <c r="BB56" i="103" s="1"/>
  <c r="BD56" i="103"/>
  <c r="BC56" i="103"/>
  <c r="AP56" i="103"/>
  <c r="AO56" i="103"/>
  <c r="Z56" i="103"/>
  <c r="W56" i="103"/>
  <c r="U56" i="103"/>
  <c r="T56" i="103"/>
  <c r="Q56" i="103"/>
  <c r="O56" i="103" s="1"/>
  <c r="M56" i="103"/>
  <c r="D56" i="103"/>
  <c r="EE55" i="103"/>
  <c r="EF55" i="103" s="1"/>
  <c r="DM55" i="103"/>
  <c r="DH55" i="103"/>
  <c r="DL55" i="103" s="1"/>
  <c r="DG55" i="103"/>
  <c r="DF55" i="103"/>
  <c r="DD55" i="103"/>
  <c r="CX55" i="103"/>
  <c r="CW55" i="103"/>
  <c r="DA55" i="103" s="1"/>
  <c r="CP55" i="103"/>
  <c r="CK55" i="103"/>
  <c r="CE55" i="103"/>
  <c r="CB55" i="103"/>
  <c r="CA55" i="103"/>
  <c r="BY55" i="103"/>
  <c r="BP55" i="103"/>
  <c r="BF55" i="103"/>
  <c r="BE55" i="103"/>
  <c r="BD55" i="103"/>
  <c r="BC55" i="103"/>
  <c r="AO55" i="103"/>
  <c r="Z55" i="103"/>
  <c r="W55" i="103"/>
  <c r="U55" i="103"/>
  <c r="T55" i="103"/>
  <c r="Q55" i="103"/>
  <c r="O55" i="103" s="1"/>
  <c r="M55" i="103"/>
  <c r="D55" i="103"/>
  <c r="EE54" i="103"/>
  <c r="EF54" i="103" s="1"/>
  <c r="DM54" i="103"/>
  <c r="DH54" i="103"/>
  <c r="DL54" i="103" s="1"/>
  <c r="DG54" i="103"/>
  <c r="DF54" i="103"/>
  <c r="CX54" i="103" s="1"/>
  <c r="DD54" i="103"/>
  <c r="CW54" i="103"/>
  <c r="DA54" i="103" s="1"/>
  <c r="CP54" i="103"/>
  <c r="CK54" i="103"/>
  <c r="CE54" i="103"/>
  <c r="CB54" i="103"/>
  <c r="CA54" i="103"/>
  <c r="BY54" i="103"/>
  <c r="BP54" i="103"/>
  <c r="BF54" i="103"/>
  <c r="BE54" i="103"/>
  <c r="AD54" i="103" s="1"/>
  <c r="BB54" i="103" s="1"/>
  <c r="BD54" i="103"/>
  <c r="BC54" i="103"/>
  <c r="AO54" i="103"/>
  <c r="Z54" i="103"/>
  <c r="W54" i="103"/>
  <c r="U54" i="103"/>
  <c r="T54" i="103"/>
  <c r="Q54" i="103"/>
  <c r="O54" i="103" s="1"/>
  <c r="M54" i="103"/>
  <c r="D54" i="103"/>
  <c r="EE53" i="103"/>
  <c r="EF53" i="103" s="1"/>
  <c r="DM53" i="103"/>
  <c r="DH53" i="103"/>
  <c r="DL53" i="103" s="1"/>
  <c r="DG53" i="103"/>
  <c r="DF53" i="103"/>
  <c r="DD53" i="103"/>
  <c r="CX53" i="103"/>
  <c r="CW53" i="103"/>
  <c r="DA53" i="103" s="1"/>
  <c r="CP53" i="103"/>
  <c r="CK53" i="103"/>
  <c r="CE53" i="103"/>
  <c r="CB53" i="103"/>
  <c r="CA53" i="103"/>
  <c r="BY53" i="103"/>
  <c r="BF53" i="103" s="1"/>
  <c r="BP53" i="103"/>
  <c r="BE53" i="103"/>
  <c r="BD53" i="103"/>
  <c r="BC53" i="103"/>
  <c r="AO53" i="103"/>
  <c r="Z53" i="103"/>
  <c r="W53" i="103"/>
  <c r="U53" i="103"/>
  <c r="T53" i="103"/>
  <c r="Q53" i="103"/>
  <c r="O53" i="103" s="1"/>
  <c r="M53" i="103"/>
  <c r="D53" i="103"/>
  <c r="EE27" i="149"/>
  <c r="EF27" i="149" s="1"/>
  <c r="DM27" i="149"/>
  <c r="DH27" i="149"/>
  <c r="DI27" i="149" s="1"/>
  <c r="DG27" i="149"/>
  <c r="DF27" i="149"/>
  <c r="CX27" i="149" s="1"/>
  <c r="DD27" i="149"/>
  <c r="CW27" i="149"/>
  <c r="DB27" i="149" s="1"/>
  <c r="CP27" i="149"/>
  <c r="CK27" i="149"/>
  <c r="CE27" i="149"/>
  <c r="CB27" i="149"/>
  <c r="CA27" i="149"/>
  <c r="BY27" i="149"/>
  <c r="BP27" i="149"/>
  <c r="BF27" i="149"/>
  <c r="BE27" i="149"/>
  <c r="BD27" i="149"/>
  <c r="EM27" i="149" s="1"/>
  <c r="BC27" i="149"/>
  <c r="BB27" i="149"/>
  <c r="CD27" i="149" s="1"/>
  <c r="AE27" i="149"/>
  <c r="AD27" i="149"/>
  <c r="AS27" i="149" s="1"/>
  <c r="AC27" i="149"/>
  <c r="Z27" i="149"/>
  <c r="W27" i="149"/>
  <c r="X27" i="149" s="1"/>
  <c r="CJ27" i="149" s="1"/>
  <c r="U27" i="149"/>
  <c r="T27" i="149"/>
  <c r="Q27" i="149"/>
  <c r="O27" i="149"/>
  <c r="M27" i="149"/>
  <c r="D27" i="149"/>
  <c r="EE24" i="149"/>
  <c r="EF24" i="149" s="1"/>
  <c r="DM24" i="149"/>
  <c r="DH24" i="149"/>
  <c r="DI24" i="149" s="1"/>
  <c r="DG24" i="149"/>
  <c r="DF24" i="149"/>
  <c r="CX24" i="149" s="1"/>
  <c r="DD24" i="149"/>
  <c r="CW24" i="149"/>
  <c r="DB24" i="149" s="1"/>
  <c r="CP24" i="149"/>
  <c r="CK24" i="149"/>
  <c r="CE24" i="149"/>
  <c r="CB24" i="149"/>
  <c r="CA24" i="149"/>
  <c r="BY24" i="149"/>
  <c r="BF24" i="149" s="1"/>
  <c r="BE24" i="149"/>
  <c r="BB24" i="149" s="1"/>
  <c r="BD24" i="149"/>
  <c r="BC24" i="149"/>
  <c r="Z24" i="149"/>
  <c r="W24" i="149"/>
  <c r="U24" i="149"/>
  <c r="T24" i="149"/>
  <c r="Q24" i="149"/>
  <c r="O24" i="149" s="1"/>
  <c r="M24" i="149"/>
  <c r="D24" i="149"/>
  <c r="EE26" i="149"/>
  <c r="EF26" i="149" s="1"/>
  <c r="DM26" i="149"/>
  <c r="DH26" i="149"/>
  <c r="DL26" i="149" s="1"/>
  <c r="DG26" i="149"/>
  <c r="DF26" i="149"/>
  <c r="DD26" i="149"/>
  <c r="CX26" i="149"/>
  <c r="CW26" i="149"/>
  <c r="DA26" i="149" s="1"/>
  <c r="CP26" i="149"/>
  <c r="CK26" i="149"/>
  <c r="CE26" i="149"/>
  <c r="CB26" i="149"/>
  <c r="CA26" i="149"/>
  <c r="BY26" i="149"/>
  <c r="BP26" i="149"/>
  <c r="BF26" i="149"/>
  <c r="BE26" i="149"/>
  <c r="AD26" i="149" s="1"/>
  <c r="BD26" i="149"/>
  <c r="BC26" i="149"/>
  <c r="Z26" i="149"/>
  <c r="W26" i="149"/>
  <c r="X26" i="149" s="1"/>
  <c r="CJ26" i="149" s="1"/>
  <c r="U26" i="149"/>
  <c r="T26" i="149"/>
  <c r="Q26" i="149"/>
  <c r="O26" i="149" s="1"/>
  <c r="M26" i="149"/>
  <c r="D26" i="149"/>
  <c r="EE25" i="149"/>
  <c r="EF25" i="149" s="1"/>
  <c r="DM25" i="149"/>
  <c r="DH25" i="149"/>
  <c r="DL25" i="149" s="1"/>
  <c r="DG25" i="149"/>
  <c r="DF25" i="149"/>
  <c r="DD25" i="149"/>
  <c r="CX25" i="149"/>
  <c r="CW25" i="149"/>
  <c r="DA25" i="149" s="1"/>
  <c r="CP25" i="149"/>
  <c r="CK25" i="149"/>
  <c r="CE25" i="149"/>
  <c r="CB25" i="149"/>
  <c r="CA25" i="149"/>
  <c r="BY25" i="149"/>
  <c r="BP25" i="149"/>
  <c r="BF25" i="149"/>
  <c r="BE25" i="149"/>
  <c r="BD25" i="149"/>
  <c r="BC25" i="149"/>
  <c r="Z25" i="149"/>
  <c r="W25" i="149"/>
  <c r="U25" i="149"/>
  <c r="T25" i="149"/>
  <c r="Q25" i="149"/>
  <c r="O25" i="149" s="1"/>
  <c r="M25" i="149"/>
  <c r="D25" i="149"/>
  <c r="EE22" i="149"/>
  <c r="EF22" i="149" s="1"/>
  <c r="DM22" i="149"/>
  <c r="DH22" i="149"/>
  <c r="DL22" i="149" s="1"/>
  <c r="DG22" i="149"/>
  <c r="DF22" i="149"/>
  <c r="DD22" i="149"/>
  <c r="CX22" i="149"/>
  <c r="CW22" i="149"/>
  <c r="DA22" i="149" s="1"/>
  <c r="CP22" i="149"/>
  <c r="CK22" i="149"/>
  <c r="CE22" i="149"/>
  <c r="CB22" i="149"/>
  <c r="CA22" i="149"/>
  <c r="BZ22" i="149"/>
  <c r="BY22" i="149"/>
  <c r="BP22" i="149"/>
  <c r="BF22" i="149"/>
  <c r="BE22" i="149"/>
  <c r="BD22" i="149"/>
  <c r="BC22" i="149"/>
  <c r="AP22" i="149"/>
  <c r="AO22" i="149"/>
  <c r="Z22" i="149"/>
  <c r="W22" i="149"/>
  <c r="U22" i="149"/>
  <c r="T22" i="149"/>
  <c r="Q22" i="149"/>
  <c r="O22" i="149" s="1"/>
  <c r="M22" i="149"/>
  <c r="D22" i="149"/>
  <c r="EE21" i="149"/>
  <c r="EF21" i="149" s="1"/>
  <c r="DM21" i="149"/>
  <c r="DH21" i="149"/>
  <c r="DI21" i="149" s="1"/>
  <c r="DG21" i="149"/>
  <c r="DF21" i="149"/>
  <c r="CX21" i="149" s="1"/>
  <c r="DD21" i="149"/>
  <c r="CW21" i="149"/>
  <c r="DB21" i="149" s="1"/>
  <c r="CP21" i="149"/>
  <c r="CK21" i="149"/>
  <c r="CE21" i="149"/>
  <c r="CB21" i="149"/>
  <c r="CA21" i="149"/>
  <c r="BY21" i="149"/>
  <c r="BF21" i="149" s="1"/>
  <c r="BE21" i="149"/>
  <c r="BB21" i="149" s="1"/>
  <c r="CD21" i="149" s="1"/>
  <c r="BD21" i="149"/>
  <c r="BC21" i="149"/>
  <c r="AP21" i="149"/>
  <c r="AO21" i="149"/>
  <c r="AQ21" i="149" s="1"/>
  <c r="Z21" i="149"/>
  <c r="W21" i="149"/>
  <c r="U21" i="149"/>
  <c r="T21" i="149"/>
  <c r="Q21" i="149"/>
  <c r="O21" i="149" s="1"/>
  <c r="M21" i="149"/>
  <c r="D21" i="149"/>
  <c r="EE20" i="149"/>
  <c r="EF20" i="149" s="1"/>
  <c r="DM20" i="149"/>
  <c r="DH20" i="149"/>
  <c r="DI20" i="149" s="1"/>
  <c r="DG20" i="149"/>
  <c r="DF20" i="149"/>
  <c r="CX20" i="149" s="1"/>
  <c r="DD20" i="149"/>
  <c r="CW20" i="149"/>
  <c r="CP20" i="149"/>
  <c r="CK20" i="149"/>
  <c r="CE20" i="149"/>
  <c r="CB20" i="149"/>
  <c r="CA20" i="149"/>
  <c r="BY20" i="149"/>
  <c r="BF20" i="149" s="1"/>
  <c r="BE20" i="149"/>
  <c r="BB20" i="149" s="1"/>
  <c r="CD20" i="149" s="1"/>
  <c r="BD20" i="149"/>
  <c r="AE20" i="149" s="1"/>
  <c r="AR20" i="149" s="1"/>
  <c r="BC20" i="149"/>
  <c r="AA20" i="149" s="1"/>
  <c r="AP20" i="149"/>
  <c r="AO20" i="149"/>
  <c r="AQ20" i="149" s="1"/>
  <c r="Z20" i="149"/>
  <c r="W20" i="149"/>
  <c r="X20" i="149" s="1"/>
  <c r="CJ20" i="149" s="1"/>
  <c r="U20" i="149"/>
  <c r="T20" i="149"/>
  <c r="Q20" i="149"/>
  <c r="O20" i="149" s="1"/>
  <c r="M20" i="149"/>
  <c r="D20" i="149"/>
  <c r="EE19" i="149"/>
  <c r="EF19" i="149" s="1"/>
  <c r="DM19" i="149"/>
  <c r="DH19" i="149"/>
  <c r="DI19" i="149" s="1"/>
  <c r="DG19" i="149"/>
  <c r="DF19" i="149"/>
  <c r="DD19" i="149"/>
  <c r="CW19" i="149"/>
  <c r="CY19" i="149" s="1"/>
  <c r="CP19" i="149"/>
  <c r="CK19" i="149"/>
  <c r="CE19" i="149"/>
  <c r="CB19" i="149"/>
  <c r="CA19" i="149"/>
  <c r="BY19" i="149"/>
  <c r="BF19" i="149" s="1"/>
  <c r="BE19" i="149"/>
  <c r="BB19" i="149" s="1"/>
  <c r="CD19" i="149" s="1"/>
  <c r="BD19" i="149"/>
  <c r="BC19" i="149"/>
  <c r="AP19" i="149"/>
  <c r="AO19" i="149"/>
  <c r="Z19" i="149"/>
  <c r="W19" i="149"/>
  <c r="U19" i="149"/>
  <c r="T19" i="149"/>
  <c r="Q19" i="149"/>
  <c r="O19" i="149" s="1"/>
  <c r="M19" i="149"/>
  <c r="D19" i="149"/>
  <c r="EE18" i="149"/>
  <c r="EF18" i="149" s="1"/>
  <c r="DM18" i="149"/>
  <c r="DH18" i="149"/>
  <c r="DL18" i="149" s="1"/>
  <c r="DG18" i="149"/>
  <c r="DF18" i="149"/>
  <c r="DD18" i="149"/>
  <c r="CX18" i="149"/>
  <c r="DB18" i="149" s="1"/>
  <c r="CW18" i="149"/>
  <c r="DA18" i="149" s="1"/>
  <c r="CV18" i="149"/>
  <c r="CP18" i="149"/>
  <c r="CK18" i="149"/>
  <c r="CE18" i="149"/>
  <c r="CB18" i="149"/>
  <c r="CA18" i="149"/>
  <c r="BZ18" i="149"/>
  <c r="BY18" i="149"/>
  <c r="BF18" i="149"/>
  <c r="BE18" i="149"/>
  <c r="BD18" i="149"/>
  <c r="AE18" i="149" s="1"/>
  <c r="AR18" i="149" s="1"/>
  <c r="BC18" i="149"/>
  <c r="BB18" i="149"/>
  <c r="CD18" i="149" s="1"/>
  <c r="AP18" i="149"/>
  <c r="AO18" i="149"/>
  <c r="Z18" i="149"/>
  <c r="W18" i="149"/>
  <c r="X18" i="149" s="1"/>
  <c r="CJ18" i="149" s="1"/>
  <c r="U18" i="149"/>
  <c r="T18" i="149"/>
  <c r="Q18" i="149"/>
  <c r="O18" i="149" s="1"/>
  <c r="M18" i="149"/>
  <c r="D18" i="149"/>
  <c r="EF17" i="149"/>
  <c r="EE17" i="149"/>
  <c r="DM17" i="149"/>
  <c r="DH17" i="149"/>
  <c r="DL17" i="149" s="1"/>
  <c r="DG17" i="149"/>
  <c r="CV17" i="149" s="1"/>
  <c r="BZ17" i="149" s="1"/>
  <c r="DF17" i="149"/>
  <c r="DD17" i="149"/>
  <c r="CX17" i="149"/>
  <c r="CW17" i="149"/>
  <c r="DA17" i="149" s="1"/>
  <c r="CP17" i="149"/>
  <c r="CK17" i="149"/>
  <c r="CE17" i="149"/>
  <c r="CB17" i="149"/>
  <c r="CA17" i="149"/>
  <c r="BY17" i="149"/>
  <c r="BF17" i="149" s="1"/>
  <c r="BE17" i="149"/>
  <c r="BB17" i="149" s="1"/>
  <c r="CD17" i="149" s="1"/>
  <c r="BD17" i="149"/>
  <c r="BC17" i="149"/>
  <c r="AP17" i="149"/>
  <c r="AO17" i="149"/>
  <c r="Z17" i="149"/>
  <c r="W17" i="149"/>
  <c r="U17" i="149"/>
  <c r="T17" i="149"/>
  <c r="Q17" i="149"/>
  <c r="O17" i="149" s="1"/>
  <c r="M17" i="149"/>
  <c r="D17" i="149"/>
  <c r="EE16" i="149"/>
  <c r="EF16" i="149" s="1"/>
  <c r="DM16" i="149"/>
  <c r="DH16" i="149"/>
  <c r="DL16" i="149" s="1"/>
  <c r="DG16" i="149"/>
  <c r="CV16" i="149" s="1"/>
  <c r="BZ16" i="149" s="1"/>
  <c r="DF16" i="149"/>
  <c r="DD16" i="149"/>
  <c r="CX16" i="149"/>
  <c r="CW16" i="149"/>
  <c r="DA16" i="149" s="1"/>
  <c r="CP16" i="149"/>
  <c r="CK16" i="149"/>
  <c r="CE16" i="149"/>
  <c r="CB16" i="149"/>
  <c r="CA16" i="149"/>
  <c r="BY16" i="149"/>
  <c r="BF16" i="149" s="1"/>
  <c r="BE16" i="149"/>
  <c r="BB16" i="149" s="1"/>
  <c r="CD16" i="149" s="1"/>
  <c r="BD16" i="149"/>
  <c r="BC16" i="149"/>
  <c r="AP16" i="149"/>
  <c r="AO16" i="149"/>
  <c r="Z16" i="149"/>
  <c r="W16" i="149"/>
  <c r="U16" i="149"/>
  <c r="T16" i="149"/>
  <c r="Q16" i="149"/>
  <c r="O16" i="149" s="1"/>
  <c r="M16" i="149"/>
  <c r="D16" i="149"/>
  <c r="EE15" i="149"/>
  <c r="EF15" i="149" s="1"/>
  <c r="DM15" i="149"/>
  <c r="DH15" i="149"/>
  <c r="DL15" i="149" s="1"/>
  <c r="DG15" i="149"/>
  <c r="DF15" i="149"/>
  <c r="DD15" i="149"/>
  <c r="CX15" i="149"/>
  <c r="CW15" i="149"/>
  <c r="DA15" i="149" s="1"/>
  <c r="CP15" i="149"/>
  <c r="CK15" i="149"/>
  <c r="CE15" i="149"/>
  <c r="CB15" i="149"/>
  <c r="CA15" i="149"/>
  <c r="BY15" i="149"/>
  <c r="BF15" i="149" s="1"/>
  <c r="BP15" i="149"/>
  <c r="BE15" i="149"/>
  <c r="BD15" i="149"/>
  <c r="BC15" i="149"/>
  <c r="AP15" i="149"/>
  <c r="AO15" i="149"/>
  <c r="Z15" i="149"/>
  <c r="W15" i="149"/>
  <c r="U15" i="149"/>
  <c r="T15" i="149"/>
  <c r="Q15" i="149"/>
  <c r="O15" i="149" s="1"/>
  <c r="M15" i="149"/>
  <c r="D15" i="149"/>
  <c r="EE76" i="149"/>
  <c r="EF76" i="149" s="1"/>
  <c r="DM76" i="149"/>
  <c r="DH76" i="149"/>
  <c r="DL76" i="149" s="1"/>
  <c r="DG76" i="149"/>
  <c r="DF76" i="149"/>
  <c r="DD76" i="149"/>
  <c r="CX76" i="149"/>
  <c r="CW76" i="149"/>
  <c r="DA76" i="149" s="1"/>
  <c r="CP76" i="149"/>
  <c r="CK76" i="149"/>
  <c r="CE76" i="149"/>
  <c r="CB76" i="149"/>
  <c r="CA76" i="149"/>
  <c r="BY76" i="149"/>
  <c r="BF76" i="149" s="1"/>
  <c r="BE76" i="149"/>
  <c r="BB76" i="149" s="1"/>
  <c r="BD76" i="149"/>
  <c r="BC76" i="149"/>
  <c r="AG76" i="149"/>
  <c r="Z76" i="149"/>
  <c r="W76" i="149"/>
  <c r="U76" i="149"/>
  <c r="T76" i="149"/>
  <c r="Q76" i="149"/>
  <c r="O76" i="149" s="1"/>
  <c r="M76" i="149"/>
  <c r="D76" i="149"/>
  <c r="EE75" i="149"/>
  <c r="EF75" i="149" s="1"/>
  <c r="DM75" i="149"/>
  <c r="DH75" i="149"/>
  <c r="DI75" i="149" s="1"/>
  <c r="DG75" i="149"/>
  <c r="DF75" i="149"/>
  <c r="DD75" i="149"/>
  <c r="CW75" i="149"/>
  <c r="CP75" i="149"/>
  <c r="CK75" i="149"/>
  <c r="CE75" i="149"/>
  <c r="CB75" i="149"/>
  <c r="CA75" i="149"/>
  <c r="BY75" i="149"/>
  <c r="BP75" i="149"/>
  <c r="BF75" i="149"/>
  <c r="BE75" i="149"/>
  <c r="AD75" i="149" s="1"/>
  <c r="AS75" i="149" s="1"/>
  <c r="BD75" i="149"/>
  <c r="BC75" i="149"/>
  <c r="Z75" i="149"/>
  <c r="W75" i="149"/>
  <c r="U75" i="149"/>
  <c r="T75" i="149"/>
  <c r="Q75" i="149"/>
  <c r="O75" i="149" s="1"/>
  <c r="M75" i="149"/>
  <c r="D75" i="149"/>
  <c r="EE74" i="149"/>
  <c r="EF74" i="149" s="1"/>
  <c r="DM74" i="149"/>
  <c r="DH74" i="149"/>
  <c r="DI74" i="149" s="1"/>
  <c r="DG74" i="149"/>
  <c r="DF74" i="149"/>
  <c r="DD74" i="149"/>
  <c r="CW74" i="149"/>
  <c r="CP74" i="149"/>
  <c r="CK74" i="149"/>
  <c r="CE74" i="149"/>
  <c r="CB74" i="149"/>
  <c r="CA74" i="149"/>
  <c r="BZ74" i="149"/>
  <c r="BY74" i="149"/>
  <c r="BP74" i="149"/>
  <c r="BF74" i="149"/>
  <c r="BE74" i="149"/>
  <c r="BB74" i="149" s="1"/>
  <c r="CD74" i="149" s="1"/>
  <c r="BD74" i="149"/>
  <c r="BC74" i="149"/>
  <c r="AP74" i="149"/>
  <c r="AO74" i="149"/>
  <c r="Z74" i="149"/>
  <c r="W74" i="149"/>
  <c r="U74" i="149"/>
  <c r="T74" i="149"/>
  <c r="Q74" i="149"/>
  <c r="O74" i="149" s="1"/>
  <c r="M74" i="149"/>
  <c r="D74" i="149"/>
  <c r="EE73" i="149"/>
  <c r="EF73" i="149" s="1"/>
  <c r="DM73" i="149"/>
  <c r="DH73" i="149"/>
  <c r="DL73" i="149" s="1"/>
  <c r="DG73" i="149"/>
  <c r="DF73" i="149"/>
  <c r="DD73" i="149"/>
  <c r="CX73" i="149"/>
  <c r="DB73" i="149" s="1"/>
  <c r="CW73" i="149"/>
  <c r="DA73" i="149" s="1"/>
  <c r="CP73" i="149"/>
  <c r="CK73" i="149"/>
  <c r="CE73" i="149"/>
  <c r="CB73" i="149"/>
  <c r="CA73" i="149"/>
  <c r="BY73" i="149"/>
  <c r="BF73" i="149"/>
  <c r="BE73" i="149"/>
  <c r="BD73" i="149"/>
  <c r="AE73" i="149" s="1"/>
  <c r="AR73" i="149" s="1"/>
  <c r="BC73" i="149"/>
  <c r="BB73" i="149"/>
  <c r="AA73" i="149" s="1"/>
  <c r="AP73" i="149"/>
  <c r="AO73" i="149"/>
  <c r="Z73" i="149"/>
  <c r="W73" i="149"/>
  <c r="U73" i="149"/>
  <c r="T73" i="149"/>
  <c r="Q73" i="149"/>
  <c r="O73" i="149" s="1"/>
  <c r="M73" i="149"/>
  <c r="D73" i="149"/>
  <c r="EF72" i="149"/>
  <c r="EE72" i="149"/>
  <c r="DM72" i="149"/>
  <c r="DH72" i="149"/>
  <c r="DL72" i="149" s="1"/>
  <c r="DG72" i="149"/>
  <c r="DF72" i="149"/>
  <c r="DD72" i="149"/>
  <c r="CX72" i="149"/>
  <c r="CW72" i="149"/>
  <c r="DA72" i="149" s="1"/>
  <c r="CP72" i="149"/>
  <c r="CK72" i="149"/>
  <c r="CE72" i="149"/>
  <c r="CB72" i="149"/>
  <c r="CA72" i="149"/>
  <c r="BY72" i="149"/>
  <c r="BF72" i="149" s="1"/>
  <c r="BP72" i="149"/>
  <c r="BE72" i="149"/>
  <c r="AD72" i="149" s="1"/>
  <c r="BD72" i="149"/>
  <c r="BC72" i="149"/>
  <c r="Z72" i="149"/>
  <c r="W72" i="149"/>
  <c r="U72" i="149"/>
  <c r="T72" i="149"/>
  <c r="Q72" i="149"/>
  <c r="O72" i="149" s="1"/>
  <c r="M72" i="149"/>
  <c r="D72" i="149"/>
  <c r="EE71" i="149"/>
  <c r="EF71" i="149" s="1"/>
  <c r="DM71" i="149"/>
  <c r="DH71" i="149"/>
  <c r="DL71" i="149" s="1"/>
  <c r="DG71" i="149"/>
  <c r="DF71" i="149"/>
  <c r="DD71" i="149"/>
  <c r="CX71" i="149"/>
  <c r="CW71" i="149"/>
  <c r="DA71" i="149" s="1"/>
  <c r="CP71" i="149"/>
  <c r="CK71" i="149"/>
  <c r="CE71" i="149"/>
  <c r="CB71" i="149"/>
  <c r="CA71" i="149"/>
  <c r="BY71" i="149"/>
  <c r="BF71" i="149" s="1"/>
  <c r="BE71" i="149"/>
  <c r="BB71" i="149" s="1"/>
  <c r="BD71" i="149"/>
  <c r="BC71" i="149"/>
  <c r="AP71" i="149"/>
  <c r="AO71" i="149"/>
  <c r="Z71" i="149"/>
  <c r="W71" i="149"/>
  <c r="X71" i="149" s="1"/>
  <c r="CJ71" i="149" s="1"/>
  <c r="U71" i="149"/>
  <c r="T71" i="149"/>
  <c r="Q71" i="149"/>
  <c r="O71" i="149" s="1"/>
  <c r="M71" i="149"/>
  <c r="D71" i="149"/>
  <c r="EE70" i="149"/>
  <c r="EF70" i="149" s="1"/>
  <c r="DM70" i="149"/>
  <c r="DH70" i="149"/>
  <c r="DL70" i="149" s="1"/>
  <c r="DG70" i="149"/>
  <c r="DF70" i="149"/>
  <c r="DD70" i="149"/>
  <c r="CX70" i="149"/>
  <c r="DB70" i="149" s="1"/>
  <c r="CW70" i="149"/>
  <c r="DA70" i="149" s="1"/>
  <c r="CP70" i="149"/>
  <c r="CK70" i="149"/>
  <c r="CE70" i="149"/>
  <c r="CB70" i="149"/>
  <c r="CA70" i="149"/>
  <c r="BY70" i="149"/>
  <c r="BF70" i="149"/>
  <c r="BE70" i="149"/>
  <c r="BB70" i="149" s="1"/>
  <c r="BD70" i="149"/>
  <c r="BC70" i="149"/>
  <c r="AP70" i="149"/>
  <c r="AO70" i="149"/>
  <c r="Z70" i="149"/>
  <c r="W70" i="149"/>
  <c r="U70" i="149"/>
  <c r="T70" i="149"/>
  <c r="Q70" i="149"/>
  <c r="O70" i="149" s="1"/>
  <c r="M70" i="149"/>
  <c r="D70" i="149"/>
  <c r="EE69" i="149"/>
  <c r="EF69" i="149" s="1"/>
  <c r="DM69" i="149"/>
  <c r="DH69" i="149"/>
  <c r="DL69" i="149" s="1"/>
  <c r="DG69" i="149"/>
  <c r="DF69" i="149"/>
  <c r="DD69" i="149"/>
  <c r="CX69" i="149"/>
  <c r="CW69" i="149"/>
  <c r="DA69" i="149" s="1"/>
  <c r="CP69" i="149"/>
  <c r="CK69" i="149"/>
  <c r="CE69" i="149"/>
  <c r="CB69" i="149"/>
  <c r="CA69" i="149"/>
  <c r="BY69" i="149"/>
  <c r="BF69" i="149" s="1"/>
  <c r="BE69" i="149"/>
  <c r="BB69" i="149" s="1"/>
  <c r="CD69" i="149" s="1"/>
  <c r="BD69" i="149"/>
  <c r="BC69" i="149"/>
  <c r="AP69" i="149"/>
  <c r="AO69" i="149"/>
  <c r="Z69" i="149"/>
  <c r="W69" i="149"/>
  <c r="U69" i="149"/>
  <c r="T69" i="149"/>
  <c r="Q69" i="149"/>
  <c r="O69" i="149" s="1"/>
  <c r="M69" i="149"/>
  <c r="D69" i="149"/>
  <c r="EE68" i="149"/>
  <c r="EF68" i="149" s="1"/>
  <c r="DM68" i="149"/>
  <c r="DH68" i="149"/>
  <c r="DL68" i="149" s="1"/>
  <c r="DG68" i="149"/>
  <c r="DF68" i="149"/>
  <c r="DD68" i="149"/>
  <c r="CX68" i="149"/>
  <c r="CW68" i="149"/>
  <c r="DA68" i="149" s="1"/>
  <c r="CP68" i="149"/>
  <c r="CK68" i="149"/>
  <c r="CE68" i="149"/>
  <c r="CB68" i="149"/>
  <c r="CA68" i="149"/>
  <c r="BY68" i="149"/>
  <c r="BF68" i="149" s="1"/>
  <c r="BE68" i="149"/>
  <c r="BB68" i="149" s="1"/>
  <c r="BD68" i="149"/>
  <c r="BC68" i="149"/>
  <c r="AP68" i="149"/>
  <c r="AO68" i="149"/>
  <c r="Z68" i="149"/>
  <c r="W68" i="149"/>
  <c r="U68" i="149"/>
  <c r="T68" i="149"/>
  <c r="Q68" i="149"/>
  <c r="O68" i="149" s="1"/>
  <c r="M68" i="149"/>
  <c r="D68" i="149"/>
  <c r="EE67" i="149"/>
  <c r="EF67" i="149" s="1"/>
  <c r="DM67" i="149"/>
  <c r="DH67" i="149"/>
  <c r="DL67" i="149" s="1"/>
  <c r="DG67" i="149"/>
  <c r="DF67" i="149"/>
  <c r="DD67" i="149"/>
  <c r="CX67" i="149"/>
  <c r="CW67" i="149"/>
  <c r="DA67" i="149" s="1"/>
  <c r="CP67" i="149"/>
  <c r="CK67" i="149"/>
  <c r="CE67" i="149"/>
  <c r="CB67" i="149"/>
  <c r="CA67" i="149"/>
  <c r="BY67" i="149"/>
  <c r="BF67" i="149" s="1"/>
  <c r="BE67" i="149"/>
  <c r="BB67" i="149" s="1"/>
  <c r="CD67" i="149" s="1"/>
  <c r="BD67" i="149"/>
  <c r="BC67" i="149"/>
  <c r="AP67" i="149"/>
  <c r="AO67" i="149"/>
  <c r="Z67" i="149"/>
  <c r="W67" i="149"/>
  <c r="U67" i="149"/>
  <c r="T67" i="149"/>
  <c r="Q67" i="149"/>
  <c r="O67" i="149" s="1"/>
  <c r="M67" i="149"/>
  <c r="D67" i="149"/>
  <c r="EE66" i="149"/>
  <c r="EF66" i="149" s="1"/>
  <c r="DM66" i="149"/>
  <c r="DH66" i="149"/>
  <c r="DL66" i="149" s="1"/>
  <c r="DG66" i="149"/>
  <c r="DF66" i="149"/>
  <c r="DD66" i="149"/>
  <c r="CX66" i="149"/>
  <c r="CW66" i="149"/>
  <c r="DA66" i="149" s="1"/>
  <c r="CP66" i="149"/>
  <c r="CK66" i="149"/>
  <c r="CE66" i="149"/>
  <c r="CB66" i="149"/>
  <c r="CA66" i="149"/>
  <c r="BY66" i="149"/>
  <c r="BP66" i="149"/>
  <c r="BF66" i="149"/>
  <c r="BE66" i="149"/>
  <c r="BD66" i="149"/>
  <c r="BC66" i="149"/>
  <c r="Z66" i="149"/>
  <c r="W66" i="149"/>
  <c r="U66" i="149"/>
  <c r="T66" i="149"/>
  <c r="Q66" i="149"/>
  <c r="O66" i="149" s="1"/>
  <c r="M66" i="149"/>
  <c r="D66" i="149"/>
  <c r="EE65" i="149"/>
  <c r="EF65" i="149" s="1"/>
  <c r="DM65" i="149"/>
  <c r="DH65" i="149"/>
  <c r="DL65" i="149" s="1"/>
  <c r="DG65" i="149"/>
  <c r="DF65" i="149"/>
  <c r="DD65" i="149"/>
  <c r="CX65" i="149"/>
  <c r="CW65" i="149"/>
  <c r="DA65" i="149" s="1"/>
  <c r="CP65" i="149"/>
  <c r="CK65" i="149"/>
  <c r="CE65" i="149"/>
  <c r="CB65" i="149"/>
  <c r="CA65" i="149"/>
  <c r="BY65" i="149"/>
  <c r="BP65" i="149"/>
  <c r="BF65" i="149"/>
  <c r="BE65" i="149"/>
  <c r="BD65" i="149"/>
  <c r="BC65" i="149"/>
  <c r="AP65" i="149"/>
  <c r="AO65" i="149"/>
  <c r="Z65" i="149"/>
  <c r="W65" i="149"/>
  <c r="U65" i="149"/>
  <c r="T65" i="149"/>
  <c r="Q65" i="149"/>
  <c r="O65" i="149" s="1"/>
  <c r="M65" i="149"/>
  <c r="D65" i="149"/>
  <c r="CV57" i="103" l="1"/>
  <c r="DB68" i="103"/>
  <c r="EM31" i="103"/>
  <c r="AE31" i="103"/>
  <c r="AQ32" i="103"/>
  <c r="CV32" i="103"/>
  <c r="DA32" i="103"/>
  <c r="AR26" i="103"/>
  <c r="AQ26" i="103"/>
  <c r="BB26" i="103"/>
  <c r="CY26" i="103"/>
  <c r="CZ26" i="103" s="1"/>
  <c r="DA26" i="103"/>
  <c r="DL26" i="103"/>
  <c r="AC26" i="103"/>
  <c r="AP26" i="103"/>
  <c r="CV26" i="103"/>
  <c r="X31" i="103"/>
  <c r="CJ31" i="103" s="1"/>
  <c r="EM32" i="103"/>
  <c r="CV67" i="103"/>
  <c r="AR31" i="103"/>
  <c r="AC32" i="103"/>
  <c r="AE32" i="103"/>
  <c r="AR32" i="103" s="1"/>
  <c r="AP32" i="103"/>
  <c r="BB32" i="103"/>
  <c r="DI32" i="103"/>
  <c r="DC32" i="103"/>
  <c r="CZ32" i="103"/>
  <c r="AQ31" i="103"/>
  <c r="BB31" i="103"/>
  <c r="CY31" i="103"/>
  <c r="CZ31" i="103" s="1"/>
  <c r="DA31" i="103"/>
  <c r="DL31" i="103"/>
  <c r="AC31" i="103"/>
  <c r="AP31" i="103"/>
  <c r="CV31" i="103"/>
  <c r="X58" i="103"/>
  <c r="CJ58" i="103" s="1"/>
  <c r="AE66" i="103"/>
  <c r="X68" i="103"/>
  <c r="CJ68" i="103" s="1"/>
  <c r="AE68" i="103"/>
  <c r="AR68" i="103" s="1"/>
  <c r="EM14" i="103"/>
  <c r="AE14" i="103"/>
  <c r="X15" i="103"/>
  <c r="CJ15" i="103" s="1"/>
  <c r="CV53" i="103"/>
  <c r="AE57" i="103"/>
  <c r="AE74" i="103"/>
  <c r="X20" i="103"/>
  <c r="CJ20" i="103" s="1"/>
  <c r="CV21" i="103"/>
  <c r="BZ21" i="103" s="1"/>
  <c r="CV28" i="103"/>
  <c r="BZ28" i="103" s="1"/>
  <c r="EM15" i="103"/>
  <c r="AE15" i="103"/>
  <c r="EN53" i="103"/>
  <c r="BZ53" i="103"/>
  <c r="EN61" i="103"/>
  <c r="BZ61" i="103"/>
  <c r="EN65" i="103"/>
  <c r="BZ65" i="103"/>
  <c r="DB53" i="103"/>
  <c r="X56" i="103"/>
  <c r="CJ56" i="103" s="1"/>
  <c r="DB61" i="103"/>
  <c r="AE65" i="103"/>
  <c r="AR65" i="103" s="1"/>
  <c r="DB65" i="103"/>
  <c r="AE69" i="103"/>
  <c r="AE70" i="103"/>
  <c r="X71" i="103"/>
  <c r="CJ71" i="103" s="1"/>
  <c r="EM71" i="103"/>
  <c r="AE71" i="103"/>
  <c r="AR71" i="103" s="1"/>
  <c r="AE72" i="103"/>
  <c r="CV72" i="103"/>
  <c r="EN72" i="103" s="1"/>
  <c r="X73" i="103"/>
  <c r="CJ73" i="103" s="1"/>
  <c r="X74" i="103"/>
  <c r="CJ74" i="103" s="1"/>
  <c r="DB74" i="103"/>
  <c r="DB21" i="103"/>
  <c r="X24" i="103"/>
  <c r="CJ24" i="103" s="1"/>
  <c r="CV29" i="103"/>
  <c r="X30" i="103"/>
  <c r="CJ30" i="103" s="1"/>
  <c r="CV33" i="103"/>
  <c r="EN33" i="103" s="1"/>
  <c r="X35" i="103"/>
  <c r="CJ35" i="103" s="1"/>
  <c r="X14" i="103"/>
  <c r="CJ14" i="103" s="1"/>
  <c r="AR15" i="103"/>
  <c r="AQ15" i="103"/>
  <c r="BB15" i="103"/>
  <c r="CY15" i="103"/>
  <c r="CZ15" i="103" s="1"/>
  <c r="DA15" i="103"/>
  <c r="DL15" i="103"/>
  <c r="AC15" i="103"/>
  <c r="AP15" i="103"/>
  <c r="CV15" i="103"/>
  <c r="BZ72" i="103"/>
  <c r="EN57" i="103"/>
  <c r="BZ57" i="103"/>
  <c r="EN67" i="103"/>
  <c r="BZ67" i="103"/>
  <c r="CV55" i="103"/>
  <c r="DI55" i="103"/>
  <c r="DB57" i="103"/>
  <c r="DB59" i="103"/>
  <c r="DB67" i="103"/>
  <c r="DB70" i="103"/>
  <c r="DB72" i="103"/>
  <c r="X17" i="103"/>
  <c r="CJ17" i="103" s="1"/>
  <c r="CV18" i="103"/>
  <c r="BZ18" i="103" s="1"/>
  <c r="AE22" i="103"/>
  <c r="DB28" i="103"/>
  <c r="DB33" i="103"/>
  <c r="AR14" i="103"/>
  <c r="AQ14" i="103"/>
  <c r="BB14" i="103"/>
  <c r="CY14" i="103"/>
  <c r="CZ14" i="103" s="1"/>
  <c r="DA14" i="103"/>
  <c r="DL14" i="103"/>
  <c r="AC14" i="103"/>
  <c r="AP14" i="103"/>
  <c r="CV14" i="103"/>
  <c r="AE59" i="103"/>
  <c r="AE33" i="103"/>
  <c r="EM53" i="103"/>
  <c r="AE54" i="103"/>
  <c r="AE55" i="103"/>
  <c r="X59" i="103"/>
  <c r="CJ59" i="103" s="1"/>
  <c r="AE61" i="103"/>
  <c r="AE62" i="103"/>
  <c r="AE63" i="103"/>
  <c r="X33" i="103"/>
  <c r="CJ33" i="103" s="1"/>
  <c r="EM33" i="103"/>
  <c r="EM54" i="103"/>
  <c r="X54" i="103"/>
  <c r="CJ54" i="103" s="1"/>
  <c r="X57" i="103"/>
  <c r="CJ57" i="103" s="1"/>
  <c r="EM57" i="103"/>
  <c r="AE58" i="103"/>
  <c r="X60" i="103"/>
  <c r="CJ60" i="103" s="1"/>
  <c r="X63" i="103"/>
  <c r="CJ63" i="103" s="1"/>
  <c r="EM64" i="103"/>
  <c r="AE64" i="103"/>
  <c r="X66" i="103"/>
  <c r="CJ66" i="103" s="1"/>
  <c r="X69" i="103"/>
  <c r="CJ69" i="103" s="1"/>
  <c r="X70" i="103"/>
  <c r="CJ70" i="103" s="1"/>
  <c r="AE73" i="103"/>
  <c r="X18" i="103"/>
  <c r="CJ18" i="103" s="1"/>
  <c r="X19" i="103"/>
  <c r="CJ19" i="103" s="1"/>
  <c r="EM21" i="103"/>
  <c r="X27" i="103"/>
  <c r="CJ27" i="103" s="1"/>
  <c r="AE28" i="103"/>
  <c r="AR28" i="103" s="1"/>
  <c r="EN55" i="103"/>
  <c r="BZ55" i="103"/>
  <c r="CD56" i="103"/>
  <c r="AA56" i="103"/>
  <c r="CD62" i="103"/>
  <c r="AA62" i="103"/>
  <c r="CD66" i="103"/>
  <c r="AA66" i="103"/>
  <c r="AE53" i="103"/>
  <c r="DL61" i="103"/>
  <c r="DI61" i="103"/>
  <c r="DL63" i="103"/>
  <c r="DI63" i="103"/>
  <c r="DI66" i="103"/>
  <c r="DL66" i="103"/>
  <c r="CD68" i="103"/>
  <c r="CC68" i="103" s="1"/>
  <c r="AA68" i="103"/>
  <c r="DL68" i="103"/>
  <c r="DI68" i="103"/>
  <c r="CD73" i="103"/>
  <c r="AA73" i="103"/>
  <c r="DI53" i="103"/>
  <c r="X55" i="103"/>
  <c r="CJ55" i="103" s="1"/>
  <c r="EM55" i="103"/>
  <c r="DB55" i="103"/>
  <c r="EM56" i="103"/>
  <c r="AE56" i="103"/>
  <c r="AR56" i="103" s="1"/>
  <c r="DI57" i="103"/>
  <c r="EM58" i="103"/>
  <c r="DL58" i="103"/>
  <c r="CV59" i="103"/>
  <c r="DI59" i="103"/>
  <c r="EM60" i="103"/>
  <c r="X62" i="103"/>
  <c r="CJ62" i="103" s="1"/>
  <c r="DI62" i="103"/>
  <c r="DL62" i="103"/>
  <c r="X64" i="103"/>
  <c r="CJ64" i="103" s="1"/>
  <c r="DL65" i="103"/>
  <c r="DI65" i="103"/>
  <c r="EM67" i="103"/>
  <c r="AE67" i="103"/>
  <c r="AR67" i="103" s="1"/>
  <c r="DL67" i="103"/>
  <c r="DI67" i="103"/>
  <c r="CD69" i="103"/>
  <c r="AA69" i="103"/>
  <c r="AE60" i="103"/>
  <c r="EM62" i="103"/>
  <c r="CV63" i="103"/>
  <c r="X65" i="103"/>
  <c r="CJ65" i="103" s="1"/>
  <c r="EM66" i="103"/>
  <c r="X67" i="103"/>
  <c r="CJ67" i="103" s="1"/>
  <c r="EM69" i="103"/>
  <c r="DL69" i="103"/>
  <c r="CV70" i="103"/>
  <c r="DI70" i="103"/>
  <c r="AA71" i="103"/>
  <c r="DI72" i="103"/>
  <c r="EM73" i="103"/>
  <c r="DL73" i="103"/>
  <c r="CV74" i="103"/>
  <c r="DI74" i="103"/>
  <c r="AE16" i="103"/>
  <c r="CV16" i="103"/>
  <c r="BZ16" i="103" s="1"/>
  <c r="DI16" i="103"/>
  <c r="EM18" i="103"/>
  <c r="DB18" i="103"/>
  <c r="AE19" i="103"/>
  <c r="X21" i="103"/>
  <c r="CJ21" i="103" s="1"/>
  <c r="X22" i="103"/>
  <c r="CJ22" i="103" s="1"/>
  <c r="AE23" i="103"/>
  <c r="CV23" i="103"/>
  <c r="BZ23" i="103" s="1"/>
  <c r="DI23" i="103"/>
  <c r="DL24" i="103"/>
  <c r="AE25" i="103"/>
  <c r="AR25" i="103" s="1"/>
  <c r="DB25" i="103"/>
  <c r="AE27" i="103"/>
  <c r="X29" i="103"/>
  <c r="CJ29" i="103" s="1"/>
  <c r="AE29" i="103"/>
  <c r="AR29" i="103" s="1"/>
  <c r="DI29" i="103"/>
  <c r="AE30" i="103"/>
  <c r="X34" i="103"/>
  <c r="CJ34" i="103" s="1"/>
  <c r="EM34" i="103"/>
  <c r="AE34" i="103"/>
  <c r="AR34" i="103" s="1"/>
  <c r="CD17" i="103"/>
  <c r="AA17" i="103"/>
  <c r="CD24" i="103"/>
  <c r="CC24" i="103" s="1"/>
  <c r="AA24" i="103"/>
  <c r="AE18" i="103"/>
  <c r="EM27" i="103"/>
  <c r="CC29" i="103"/>
  <c r="X16" i="103"/>
  <c r="CJ16" i="103" s="1"/>
  <c r="EM16" i="103"/>
  <c r="DB16" i="103"/>
  <c r="EM17" i="103"/>
  <c r="AE17" i="103"/>
  <c r="AR17" i="103" s="1"/>
  <c r="DI18" i="103"/>
  <c r="EM20" i="103"/>
  <c r="AE20" i="103"/>
  <c r="AR20" i="103" s="1"/>
  <c r="DI21" i="103"/>
  <c r="DB23" i="103"/>
  <c r="AE24" i="103"/>
  <c r="CV25" i="103"/>
  <c r="EN25" i="103" s="1"/>
  <c r="DI25" i="103"/>
  <c r="X28" i="103"/>
  <c r="CJ28" i="103" s="1"/>
  <c r="DI28" i="103"/>
  <c r="AA29" i="103"/>
  <c r="DB29" i="103"/>
  <c r="DL30" i="103"/>
  <c r="DI33" i="103"/>
  <c r="AA34" i="103"/>
  <c r="EM35" i="103"/>
  <c r="AE35" i="103"/>
  <c r="EM19" i="103"/>
  <c r="AE21" i="103"/>
  <c r="EM22" i="103"/>
  <c r="AR19" i="103"/>
  <c r="AR22" i="103"/>
  <c r="BZ25" i="103"/>
  <c r="EN16" i="103"/>
  <c r="AQ17" i="103"/>
  <c r="CC17" i="103"/>
  <c r="CY17" i="103"/>
  <c r="CZ17" i="103" s="1"/>
  <c r="DA17" i="103"/>
  <c r="DL17" i="103"/>
  <c r="EN18" i="103"/>
  <c r="AQ19" i="103"/>
  <c r="BB19" i="103"/>
  <c r="CY19" i="103"/>
  <c r="CZ19" i="103" s="1"/>
  <c r="DA19" i="103"/>
  <c r="DL19" i="103"/>
  <c r="AQ20" i="103"/>
  <c r="BB20" i="103"/>
  <c r="CY20" i="103"/>
  <c r="CZ20" i="103" s="1"/>
  <c r="DA20" i="103"/>
  <c r="DL20" i="103"/>
  <c r="EN21" i="103"/>
  <c r="AQ22" i="103"/>
  <c r="BB22" i="103"/>
  <c r="CY22" i="103"/>
  <c r="CZ22" i="103" s="1"/>
  <c r="DA22" i="103"/>
  <c r="EM23" i="103"/>
  <c r="AD23" i="103"/>
  <c r="DA24" i="103"/>
  <c r="EM24" i="103"/>
  <c r="AR27" i="103"/>
  <c r="AP27" i="103"/>
  <c r="AC27" i="103"/>
  <c r="AQ27" i="103"/>
  <c r="CX27" i="103"/>
  <c r="CZ27" i="103" s="1"/>
  <c r="CV27" i="103"/>
  <c r="EM28" i="103"/>
  <c r="BB28" i="103"/>
  <c r="CD28" i="103" s="1"/>
  <c r="CC28" i="103" s="1"/>
  <c r="CY30" i="103"/>
  <c r="AD16" i="103"/>
  <c r="CY16" i="103"/>
  <c r="CZ16" i="103" s="1"/>
  <c r="CV17" i="103"/>
  <c r="AD18" i="103"/>
  <c r="CY18" i="103"/>
  <c r="CZ18" i="103" s="1"/>
  <c r="AC19" i="103"/>
  <c r="AP19" i="103"/>
  <c r="CV19" i="103"/>
  <c r="AC20" i="103"/>
  <c r="AP20" i="103"/>
  <c r="CV20" i="103"/>
  <c r="AD21" i="103"/>
  <c r="CY21" i="103"/>
  <c r="CZ21" i="103" s="1"/>
  <c r="AC22" i="103"/>
  <c r="AP22" i="103"/>
  <c r="CV22" i="103"/>
  <c r="DL22" i="103"/>
  <c r="X23" i="103"/>
  <c r="CJ23" i="103" s="1"/>
  <c r="EN23" i="103"/>
  <c r="AR24" i="103"/>
  <c r="AP24" i="103"/>
  <c r="AC24" i="103"/>
  <c r="AQ24" i="103"/>
  <c r="CY24" i="103"/>
  <c r="CX24" i="103"/>
  <c r="DB24" i="103" s="1"/>
  <c r="CV24" i="103"/>
  <c r="X25" i="103"/>
  <c r="CJ25" i="103" s="1"/>
  <c r="EM25" i="103"/>
  <c r="BB25" i="103"/>
  <c r="CD25" i="103" s="1"/>
  <c r="CC25" i="103" s="1"/>
  <c r="BB27" i="103"/>
  <c r="DB27" i="103"/>
  <c r="DA27" i="103"/>
  <c r="DL27" i="103"/>
  <c r="EN28" i="103"/>
  <c r="AQ29" i="103"/>
  <c r="DC29" i="103"/>
  <c r="EN29" i="103"/>
  <c r="BZ29" i="103"/>
  <c r="CU29" i="103" s="1"/>
  <c r="AA30" i="103"/>
  <c r="EM30" i="103"/>
  <c r="CC30" i="103"/>
  <c r="DA30" i="103"/>
  <c r="CY23" i="103"/>
  <c r="CZ23" i="103" s="1"/>
  <c r="AQ25" i="103"/>
  <c r="CY25" i="103"/>
  <c r="CZ25" i="103" s="1"/>
  <c r="AQ28" i="103"/>
  <c r="CY28" i="103"/>
  <c r="CZ28" i="103" s="1"/>
  <c r="EM29" i="103"/>
  <c r="AR30" i="103"/>
  <c r="AP30" i="103"/>
  <c r="AC30" i="103"/>
  <c r="AQ30" i="103"/>
  <c r="CX30" i="103"/>
  <c r="DB30" i="103" s="1"/>
  <c r="CV30" i="103"/>
  <c r="AA35" i="103"/>
  <c r="CD35" i="103"/>
  <c r="CC35" i="103" s="1"/>
  <c r="CY29" i="103"/>
  <c r="CZ29" i="103" s="1"/>
  <c r="AD33" i="103"/>
  <c r="CY33" i="103"/>
  <c r="CZ33" i="103" s="1"/>
  <c r="CV34" i="103"/>
  <c r="DB34" i="103"/>
  <c r="DI34" i="103"/>
  <c r="AC35" i="103"/>
  <c r="AP35" i="103"/>
  <c r="AR35" i="103"/>
  <c r="CV35" i="103"/>
  <c r="DB35" i="103"/>
  <c r="DI35" i="103"/>
  <c r="AQ34" i="103"/>
  <c r="CC34" i="103"/>
  <c r="CY34" i="103"/>
  <c r="CZ34" i="103" s="1"/>
  <c r="AQ35" i="103"/>
  <c r="CY35" i="103"/>
  <c r="CZ35" i="103" s="1"/>
  <c r="X53" i="103"/>
  <c r="CJ53" i="103" s="1"/>
  <c r="EN63" i="103"/>
  <c r="BZ63" i="103"/>
  <c r="CD64" i="103"/>
  <c r="CC64" i="103" s="1"/>
  <c r="AA64" i="103"/>
  <c r="AA54" i="103"/>
  <c r="CD54" i="103"/>
  <c r="CC54" i="103" s="1"/>
  <c r="CD58" i="103"/>
  <c r="CC58" i="103" s="1"/>
  <c r="AA58" i="103"/>
  <c r="EN59" i="103"/>
  <c r="BZ59" i="103"/>
  <c r="CD60" i="103"/>
  <c r="CC60" i="103" s="1"/>
  <c r="AA60" i="103"/>
  <c r="AD53" i="103"/>
  <c r="CY53" i="103"/>
  <c r="CZ53" i="103" s="1"/>
  <c r="AC54" i="103"/>
  <c r="AP54" i="103"/>
  <c r="AR54" i="103"/>
  <c r="CV54" i="103"/>
  <c r="DB54" i="103"/>
  <c r="DI54" i="103"/>
  <c r="AD55" i="103"/>
  <c r="CY55" i="103"/>
  <c r="CZ55" i="103" s="1"/>
  <c r="CV56" i="103"/>
  <c r="DB56" i="103"/>
  <c r="DI56" i="103"/>
  <c r="AD57" i="103"/>
  <c r="CY57" i="103"/>
  <c r="CZ57" i="103" s="1"/>
  <c r="AC58" i="103"/>
  <c r="AP58" i="103"/>
  <c r="AR58" i="103"/>
  <c r="CX58" i="103"/>
  <c r="CZ58" i="103" s="1"/>
  <c r="CV58" i="103"/>
  <c r="EM59" i="103"/>
  <c r="AD59" i="103"/>
  <c r="DA60" i="103"/>
  <c r="DL60" i="103"/>
  <c r="X61" i="103"/>
  <c r="CJ61" i="103" s="1"/>
  <c r="AR62" i="103"/>
  <c r="AP62" i="103"/>
  <c r="AC62" i="103"/>
  <c r="AQ62" i="103"/>
  <c r="CC62" i="103"/>
  <c r="CX62" i="103"/>
  <c r="CZ62" i="103" s="1"/>
  <c r="CV62" i="103"/>
  <c r="EM63" i="103"/>
  <c r="AD63" i="103"/>
  <c r="DA64" i="103"/>
  <c r="DL64" i="103"/>
  <c r="AR66" i="103"/>
  <c r="AP66" i="103"/>
  <c r="AC66" i="103"/>
  <c r="AQ66" i="103"/>
  <c r="CC66" i="103"/>
  <c r="CX66" i="103"/>
  <c r="CZ66" i="103" s="1"/>
  <c r="CV66" i="103"/>
  <c r="EN70" i="103"/>
  <c r="BZ70" i="103"/>
  <c r="EN74" i="103"/>
  <c r="BZ74" i="103"/>
  <c r="AQ54" i="103"/>
  <c r="CY54" i="103"/>
  <c r="CZ54" i="103" s="1"/>
  <c r="AQ56" i="103"/>
  <c r="CC56" i="103"/>
  <c r="CY56" i="103"/>
  <c r="CZ56" i="103" s="1"/>
  <c r="AQ58" i="103"/>
  <c r="DB58" i="103"/>
  <c r="DA58" i="103"/>
  <c r="AR60" i="103"/>
  <c r="AP60" i="103"/>
  <c r="AC60" i="103"/>
  <c r="AQ60" i="103"/>
  <c r="CX60" i="103"/>
  <c r="DB60" i="103" s="1"/>
  <c r="CV60" i="103"/>
  <c r="EM61" i="103"/>
  <c r="AD61" i="103"/>
  <c r="DA62" i="103"/>
  <c r="AR64" i="103"/>
  <c r="AP64" i="103"/>
  <c r="AC64" i="103"/>
  <c r="AQ64" i="103"/>
  <c r="CX64" i="103"/>
  <c r="DB64" i="103" s="1"/>
  <c r="CV64" i="103"/>
  <c r="EM65" i="103"/>
  <c r="BB65" i="103"/>
  <c r="CD65" i="103" s="1"/>
  <c r="CC65" i="103" s="1"/>
  <c r="DA66" i="103"/>
  <c r="CY59" i="103"/>
  <c r="CZ59" i="103" s="1"/>
  <c r="CY61" i="103"/>
  <c r="CZ61" i="103" s="1"/>
  <c r="CY63" i="103"/>
  <c r="CZ63" i="103" s="1"/>
  <c r="AQ65" i="103"/>
  <c r="CY65" i="103"/>
  <c r="CZ65" i="103" s="1"/>
  <c r="AQ67" i="103"/>
  <c r="BB67" i="103"/>
  <c r="CD67" i="103" s="1"/>
  <c r="CC67" i="103" s="1"/>
  <c r="CY67" i="103"/>
  <c r="CZ67" i="103" s="1"/>
  <c r="DC67" i="103"/>
  <c r="CU67" i="103" s="1"/>
  <c r="EM68" i="103"/>
  <c r="BZ68" i="103"/>
  <c r="AR69" i="103"/>
  <c r="AP69" i="103"/>
  <c r="AC69" i="103"/>
  <c r="AQ69" i="103"/>
  <c r="CC69" i="103"/>
  <c r="CX69" i="103"/>
  <c r="CZ69" i="103" s="1"/>
  <c r="CV69" i="103"/>
  <c r="EM70" i="103"/>
  <c r="AD70" i="103"/>
  <c r="DA71" i="103"/>
  <c r="DL71" i="103"/>
  <c r="X72" i="103"/>
  <c r="CJ72" i="103" s="1"/>
  <c r="AR73" i="103"/>
  <c r="AP73" i="103"/>
  <c r="AC73" i="103"/>
  <c r="AQ73" i="103"/>
  <c r="CC73" i="103"/>
  <c r="CX73" i="103"/>
  <c r="CZ73" i="103" s="1"/>
  <c r="CV73" i="103"/>
  <c r="EM74" i="103"/>
  <c r="AD74" i="103"/>
  <c r="AQ68" i="103"/>
  <c r="DC68" i="103"/>
  <c r="DA69" i="103"/>
  <c r="AQ71" i="103"/>
  <c r="CC71" i="103"/>
  <c r="CX71" i="103"/>
  <c r="DB71" i="103" s="1"/>
  <c r="CV71" i="103"/>
  <c r="EM72" i="103"/>
  <c r="AD72" i="103"/>
  <c r="DA73" i="103"/>
  <c r="CY68" i="103"/>
  <c r="CZ68" i="103" s="1"/>
  <c r="CY70" i="103"/>
  <c r="CZ70" i="103" s="1"/>
  <c r="CY72" i="103"/>
  <c r="CZ72" i="103" s="1"/>
  <c r="CY74" i="103"/>
  <c r="CZ74" i="103" s="1"/>
  <c r="X67" i="149"/>
  <c r="CJ67" i="149" s="1"/>
  <c r="CV67" i="149"/>
  <c r="DI67" i="149"/>
  <c r="X69" i="149"/>
  <c r="CJ69" i="149" s="1"/>
  <c r="CV25" i="149"/>
  <c r="BZ25" i="149" s="1"/>
  <c r="CV26" i="149"/>
  <c r="BZ26" i="149" s="1"/>
  <c r="DI26" i="149"/>
  <c r="X24" i="149"/>
  <c r="CJ24" i="149" s="1"/>
  <c r="AR27" i="149"/>
  <c r="CC27" i="149"/>
  <c r="CY27" i="149"/>
  <c r="CZ27" i="149" s="1"/>
  <c r="DA27" i="149"/>
  <c r="DL27" i="149"/>
  <c r="AA27" i="149"/>
  <c r="AG27" i="149"/>
  <c r="CV27" i="149"/>
  <c r="AA68" i="149"/>
  <c r="AA76" i="149"/>
  <c r="CV65" i="149"/>
  <c r="BZ65" i="149" s="1"/>
  <c r="X66" i="149"/>
  <c r="CJ66" i="149" s="1"/>
  <c r="AE69" i="149"/>
  <c r="AR69" i="149" s="1"/>
  <c r="DB69" i="149"/>
  <c r="DB71" i="149"/>
  <c r="X16" i="149"/>
  <c r="CJ16" i="149" s="1"/>
  <c r="CV22" i="149"/>
  <c r="X25" i="149"/>
  <c r="CJ25" i="149" s="1"/>
  <c r="EM25" i="149"/>
  <c r="DB25" i="149"/>
  <c r="CD24" i="149"/>
  <c r="CC24" i="149" s="1"/>
  <c r="AA24" i="149"/>
  <c r="CY24" i="149"/>
  <c r="CZ24" i="149" s="1"/>
  <c r="DA24" i="149"/>
  <c r="DL24" i="149"/>
  <c r="EM24" i="149"/>
  <c r="AE24" i="149"/>
  <c r="CV24" i="149"/>
  <c r="EN65" i="149"/>
  <c r="DB20" i="149"/>
  <c r="AA21" i="149"/>
  <c r="DB65" i="149"/>
  <c r="CV66" i="149"/>
  <c r="BZ66" i="149" s="1"/>
  <c r="DI66" i="149"/>
  <c r="X68" i="149"/>
  <c r="CJ68" i="149" s="1"/>
  <c r="CV68" i="149"/>
  <c r="DI68" i="149"/>
  <c r="X70" i="149"/>
  <c r="CJ70" i="149" s="1"/>
  <c r="X72" i="149"/>
  <c r="CJ72" i="149" s="1"/>
  <c r="DB72" i="149"/>
  <c r="AE74" i="149"/>
  <c r="AR74" i="149" s="1"/>
  <c r="DL74" i="149"/>
  <c r="CV76" i="149"/>
  <c r="BZ76" i="149" s="1"/>
  <c r="DI76" i="149"/>
  <c r="AE16" i="149"/>
  <c r="AR16" i="149" s="1"/>
  <c r="DB16" i="149"/>
  <c r="AE21" i="149"/>
  <c r="AR21" i="149" s="1"/>
  <c r="DB22" i="149"/>
  <c r="EM26" i="149"/>
  <c r="DB26" i="149"/>
  <c r="AG26" i="149"/>
  <c r="AS26" i="149"/>
  <c r="EN26" i="149"/>
  <c r="AC26" i="149"/>
  <c r="AE26" i="149"/>
  <c r="AR26" i="149"/>
  <c r="BB26" i="149"/>
  <c r="CY26" i="149"/>
  <c r="CZ26" i="149" s="1"/>
  <c r="EN67" i="149"/>
  <c r="BZ67" i="149"/>
  <c r="DI65" i="149"/>
  <c r="DB66" i="149"/>
  <c r="AE67" i="149"/>
  <c r="AR67" i="149" s="1"/>
  <c r="DB67" i="149"/>
  <c r="AE68" i="149"/>
  <c r="AR68" i="149" s="1"/>
  <c r="DB68" i="149"/>
  <c r="CV69" i="149"/>
  <c r="DI69" i="149"/>
  <c r="CV70" i="149"/>
  <c r="DI70" i="149"/>
  <c r="CV71" i="149"/>
  <c r="DI71" i="149"/>
  <c r="CV72" i="149"/>
  <c r="DI72" i="149"/>
  <c r="X73" i="149"/>
  <c r="CJ73" i="149" s="1"/>
  <c r="CV73" i="149"/>
  <c r="DI73" i="149"/>
  <c r="X74" i="149"/>
  <c r="CJ74" i="149" s="1"/>
  <c r="AE75" i="149"/>
  <c r="DL75" i="149"/>
  <c r="DB76" i="149"/>
  <c r="CV15" i="149"/>
  <c r="BZ15" i="149" s="1"/>
  <c r="DI15" i="149"/>
  <c r="X17" i="149"/>
  <c r="CJ17" i="149" s="1"/>
  <c r="AE17" i="149"/>
  <c r="AR17" i="149" s="1"/>
  <c r="DB17" i="149"/>
  <c r="X19" i="149"/>
  <c r="CJ19" i="149" s="1"/>
  <c r="AE19" i="149"/>
  <c r="AR19" i="149" s="1"/>
  <c r="X21" i="149"/>
  <c r="CJ21" i="149" s="1"/>
  <c r="AD25" i="149"/>
  <c r="AS25" i="149" s="1"/>
  <c r="DI25" i="149"/>
  <c r="EM74" i="149"/>
  <c r="EM22" i="149"/>
  <c r="AG25" i="149"/>
  <c r="EN25" i="149"/>
  <c r="AE25" i="149"/>
  <c r="BB25" i="149"/>
  <c r="CY25" i="149"/>
  <c r="CZ25" i="149" s="1"/>
  <c r="EM19" i="149"/>
  <c r="DC16" i="149"/>
  <c r="CC17" i="149"/>
  <c r="DC17" i="149"/>
  <c r="DC18" i="149"/>
  <c r="X15" i="149"/>
  <c r="CJ15" i="149" s="1"/>
  <c r="EM15" i="149"/>
  <c r="DB15" i="149"/>
  <c r="EM16" i="149"/>
  <c r="DI16" i="149"/>
  <c r="AA17" i="149"/>
  <c r="EM17" i="149"/>
  <c r="DI17" i="149"/>
  <c r="AA18" i="149"/>
  <c r="EM18" i="149"/>
  <c r="DI18" i="149"/>
  <c r="AA19" i="149"/>
  <c r="X22" i="149"/>
  <c r="CJ22" i="149" s="1"/>
  <c r="AE22" i="149"/>
  <c r="AR22" i="149" s="1"/>
  <c r="DI22" i="149"/>
  <c r="CC16" i="149"/>
  <c r="CC18" i="149"/>
  <c r="AE15" i="149"/>
  <c r="AR15" i="149" s="1"/>
  <c r="EN15" i="149"/>
  <c r="AA16" i="149"/>
  <c r="AQ16" i="149"/>
  <c r="EN16" i="149"/>
  <c r="AQ17" i="149"/>
  <c r="EN17" i="149"/>
  <c r="AQ18" i="149"/>
  <c r="EN18" i="149"/>
  <c r="AQ19" i="149"/>
  <c r="CC19" i="149"/>
  <c r="CX19" i="149"/>
  <c r="CZ19" i="149" s="1"/>
  <c r="CV19" i="149"/>
  <c r="AQ15" i="149"/>
  <c r="BB15" i="149"/>
  <c r="CD15" i="149" s="1"/>
  <c r="CC15" i="149" s="1"/>
  <c r="CY15" i="149"/>
  <c r="CZ15" i="149" s="1"/>
  <c r="CU16" i="149"/>
  <c r="CY16" i="149"/>
  <c r="CZ16" i="149" s="1"/>
  <c r="CU17" i="149"/>
  <c r="CY17" i="149"/>
  <c r="CZ17" i="149" s="1"/>
  <c r="CU18" i="149"/>
  <c r="CY18" i="149"/>
  <c r="CZ18" i="149" s="1"/>
  <c r="DB19" i="149"/>
  <c r="DA19" i="149"/>
  <c r="DL19" i="149"/>
  <c r="CC20" i="149"/>
  <c r="CC21" i="149"/>
  <c r="CY20" i="149"/>
  <c r="CZ20" i="149" s="1"/>
  <c r="DA20" i="149"/>
  <c r="DL20" i="149"/>
  <c r="EM20" i="149"/>
  <c r="CY21" i="149"/>
  <c r="CZ21" i="149" s="1"/>
  <c r="DA21" i="149"/>
  <c r="DL21" i="149"/>
  <c r="EM21" i="149"/>
  <c r="EN22" i="149"/>
  <c r="CV20" i="149"/>
  <c r="CV21" i="149"/>
  <c r="AQ22" i="149"/>
  <c r="BB22" i="149"/>
  <c r="CD22" i="149" s="1"/>
  <c r="CC22" i="149" s="1"/>
  <c r="CY22" i="149"/>
  <c r="CZ22" i="149" s="1"/>
  <c r="CD71" i="149"/>
  <c r="AA71" i="149"/>
  <c r="CD70" i="149"/>
  <c r="AA70" i="149"/>
  <c r="CD68" i="149"/>
  <c r="CC68" i="149" s="1"/>
  <c r="AA69" i="149"/>
  <c r="CD73" i="149"/>
  <c r="CC73" i="149" s="1"/>
  <c r="AR75" i="149"/>
  <c r="X65" i="149"/>
  <c r="CJ65" i="149" s="1"/>
  <c r="AE65" i="149"/>
  <c r="AR65" i="149" s="1"/>
  <c r="AA67" i="149"/>
  <c r="CC70" i="149"/>
  <c r="AE70" i="149"/>
  <c r="AR70" i="149" s="1"/>
  <c r="CC71" i="149"/>
  <c r="AE71" i="149"/>
  <c r="AR71" i="149" s="1"/>
  <c r="AA74" i="149"/>
  <c r="X75" i="149"/>
  <c r="CJ75" i="149" s="1"/>
  <c r="AC75" i="149"/>
  <c r="BB75" i="149"/>
  <c r="AA75" i="149" s="1"/>
  <c r="EM75" i="149"/>
  <c r="X76" i="149"/>
  <c r="CJ76" i="149" s="1"/>
  <c r="AE76" i="149"/>
  <c r="DC68" i="149"/>
  <c r="EN68" i="149"/>
  <c r="BZ68" i="149"/>
  <c r="EM66" i="149"/>
  <c r="AE66" i="149"/>
  <c r="AD66" i="149"/>
  <c r="EN66" i="149"/>
  <c r="CC67" i="149"/>
  <c r="AQ67" i="149"/>
  <c r="EM67" i="149"/>
  <c r="AQ68" i="149"/>
  <c r="EM68" i="149"/>
  <c r="DC69" i="149"/>
  <c r="BZ69" i="149"/>
  <c r="EN69" i="149"/>
  <c r="DC70" i="149"/>
  <c r="BZ70" i="149"/>
  <c r="EN70" i="149"/>
  <c r="DC71" i="149"/>
  <c r="BZ71" i="149"/>
  <c r="EN71" i="149"/>
  <c r="EM65" i="149"/>
  <c r="BB65" i="149"/>
  <c r="CD65" i="149" s="1"/>
  <c r="CC65" i="149" s="1"/>
  <c r="DC67" i="149"/>
  <c r="CU67" i="149" s="1"/>
  <c r="BZ72" i="149"/>
  <c r="EN72" i="149"/>
  <c r="DC73" i="149"/>
  <c r="BZ73" i="149"/>
  <c r="EN73" i="149"/>
  <c r="AQ70" i="149"/>
  <c r="AQ71" i="149"/>
  <c r="EM71" i="149"/>
  <c r="BB72" i="149"/>
  <c r="AR72" i="149"/>
  <c r="AC72" i="149"/>
  <c r="AS72" i="149"/>
  <c r="AQ73" i="149"/>
  <c r="EM73" i="149"/>
  <c r="AQ74" i="149"/>
  <c r="DA74" i="149"/>
  <c r="CD75" i="149"/>
  <c r="CC75" i="149" s="1"/>
  <c r="DA75" i="149"/>
  <c r="DC76" i="149"/>
  <c r="CU76" i="149" s="1"/>
  <c r="CC69" i="149"/>
  <c r="AQ69" i="149"/>
  <c r="EM69" i="149"/>
  <c r="EM70" i="149"/>
  <c r="AQ65" i="149"/>
  <c r="CY65" i="149"/>
  <c r="CZ65" i="149" s="1"/>
  <c r="CY66" i="149"/>
  <c r="CZ66" i="149" s="1"/>
  <c r="CY67" i="149"/>
  <c r="CZ67" i="149" s="1"/>
  <c r="CY68" i="149"/>
  <c r="CZ68" i="149" s="1"/>
  <c r="AG72" i="149"/>
  <c r="EM72" i="149"/>
  <c r="AE72" i="149"/>
  <c r="CC74" i="149"/>
  <c r="CY74" i="149"/>
  <c r="CX74" i="149"/>
  <c r="DB74" i="149" s="1"/>
  <c r="CV74" i="149"/>
  <c r="CY75" i="149"/>
  <c r="CX75" i="149"/>
  <c r="DB75" i="149" s="1"/>
  <c r="CV75" i="149"/>
  <c r="EM76" i="149"/>
  <c r="CD76" i="149"/>
  <c r="CC76" i="149" s="1"/>
  <c r="EN76" i="149"/>
  <c r="CY69" i="149"/>
  <c r="CZ69" i="149" s="1"/>
  <c r="CY70" i="149"/>
  <c r="CZ70" i="149" s="1"/>
  <c r="CY71" i="149"/>
  <c r="CZ71" i="149" s="1"/>
  <c r="CY72" i="149"/>
  <c r="CZ72" i="149" s="1"/>
  <c r="CY73" i="149"/>
  <c r="CZ73" i="149" s="1"/>
  <c r="AG75" i="149"/>
  <c r="CY76" i="149"/>
  <c r="CZ76" i="149" s="1"/>
  <c r="EN32" i="103" l="1"/>
  <c r="BZ32" i="103"/>
  <c r="CU32" i="103" s="1"/>
  <c r="BZ33" i="103"/>
  <c r="EN26" i="103"/>
  <c r="BZ26" i="103"/>
  <c r="DC26" i="103"/>
  <c r="CU26" i="103" s="1"/>
  <c r="CD26" i="103"/>
  <c r="CC26" i="103" s="1"/>
  <c r="AA26" i="103"/>
  <c r="AA32" i="103"/>
  <c r="CD32" i="103"/>
  <c r="CC32" i="103" s="1"/>
  <c r="CD31" i="103"/>
  <c r="CC31" i="103" s="1"/>
  <c r="AA31" i="103"/>
  <c r="EN31" i="103"/>
  <c r="BZ31" i="103"/>
  <c r="DC31" i="103"/>
  <c r="CU31" i="103" s="1"/>
  <c r="CZ71" i="103"/>
  <c r="CU68" i="103"/>
  <c r="CD15" i="103"/>
  <c r="CC15" i="103" s="1"/>
  <c r="AA15" i="103"/>
  <c r="EN15" i="103"/>
  <c r="BZ15" i="103"/>
  <c r="DC15" i="103"/>
  <c r="DB66" i="103"/>
  <c r="CD14" i="103"/>
  <c r="CC14" i="103" s="1"/>
  <c r="AA14" i="103"/>
  <c r="EN14" i="103"/>
  <c r="BZ14" i="103"/>
  <c r="DC14" i="103"/>
  <c r="DB73" i="103"/>
  <c r="DB62" i="103"/>
  <c r="AA67" i="103"/>
  <c r="DC28" i="103"/>
  <c r="CU28" i="103" s="1"/>
  <c r="EN30" i="103"/>
  <c r="BZ30" i="103"/>
  <c r="DC30" i="103"/>
  <c r="AA25" i="103"/>
  <c r="EN24" i="103"/>
  <c r="BZ24" i="103"/>
  <c r="DC24" i="103"/>
  <c r="CZ24" i="103"/>
  <c r="BB21" i="103"/>
  <c r="AQ21" i="103"/>
  <c r="AR21" i="103"/>
  <c r="AP21" i="103"/>
  <c r="AC21" i="103"/>
  <c r="BB18" i="103"/>
  <c r="AQ18" i="103"/>
  <c r="AR18" i="103"/>
  <c r="AP18" i="103"/>
  <c r="AC18" i="103"/>
  <c r="BB16" i="103"/>
  <c r="AQ16" i="103"/>
  <c r="AR16" i="103"/>
  <c r="AP16" i="103"/>
  <c r="AC16" i="103"/>
  <c r="CZ30" i="103"/>
  <c r="AA28" i="103"/>
  <c r="CD20" i="103"/>
  <c r="CC20" i="103" s="1"/>
  <c r="AA20" i="103"/>
  <c r="DC25" i="103"/>
  <c r="CU25" i="103" s="1"/>
  <c r="DC35" i="103"/>
  <c r="EN35" i="103"/>
  <c r="BZ35" i="103"/>
  <c r="DC34" i="103"/>
  <c r="EN34" i="103"/>
  <c r="BZ34" i="103"/>
  <c r="BB33" i="103"/>
  <c r="AQ33" i="103"/>
  <c r="AP33" i="103"/>
  <c r="AC33" i="103"/>
  <c r="AR33" i="103"/>
  <c r="CD27" i="103"/>
  <c r="CC27" i="103" s="1"/>
  <c r="AA27" i="103"/>
  <c r="EN22" i="103"/>
  <c r="BZ22" i="103"/>
  <c r="DC22" i="103"/>
  <c r="EN20" i="103"/>
  <c r="BZ20" i="103"/>
  <c r="DC20" i="103"/>
  <c r="EN19" i="103"/>
  <c r="BZ19" i="103"/>
  <c r="DC19" i="103"/>
  <c r="EN17" i="103"/>
  <c r="BZ17" i="103"/>
  <c r="DC17" i="103"/>
  <c r="EN27" i="103"/>
  <c r="BZ27" i="103"/>
  <c r="DC27" i="103"/>
  <c r="BB23" i="103"/>
  <c r="AQ23" i="103"/>
  <c r="AR23" i="103"/>
  <c r="AC23" i="103"/>
  <c r="AP23" i="103"/>
  <c r="CD22" i="103"/>
  <c r="CC22" i="103" s="1"/>
  <c r="AA22" i="103"/>
  <c r="CD19" i="103"/>
  <c r="CC19" i="103" s="1"/>
  <c r="AA19" i="103"/>
  <c r="EN71" i="103"/>
  <c r="BZ71" i="103"/>
  <c r="DC71" i="103"/>
  <c r="BB72" i="103"/>
  <c r="AQ72" i="103"/>
  <c r="AP72" i="103"/>
  <c r="AR72" i="103"/>
  <c r="AC72" i="103"/>
  <c r="DB69" i="103"/>
  <c r="BB74" i="103"/>
  <c r="AQ74" i="103"/>
  <c r="AR74" i="103"/>
  <c r="AC74" i="103"/>
  <c r="AP74" i="103"/>
  <c r="EN69" i="103"/>
  <c r="BZ69" i="103"/>
  <c r="DC69" i="103"/>
  <c r="DC65" i="103"/>
  <c r="CU65" i="103" s="1"/>
  <c r="EN64" i="103"/>
  <c r="BZ64" i="103"/>
  <c r="DC64" i="103"/>
  <c r="CZ64" i="103"/>
  <c r="EN60" i="103"/>
  <c r="BZ60" i="103"/>
  <c r="DC60" i="103"/>
  <c r="CZ60" i="103"/>
  <c r="EN66" i="103"/>
  <c r="BZ66" i="103"/>
  <c r="DC66" i="103"/>
  <c r="EN62" i="103"/>
  <c r="BZ62" i="103"/>
  <c r="DC62" i="103"/>
  <c r="BB59" i="103"/>
  <c r="AQ59" i="103"/>
  <c r="AR59" i="103"/>
  <c r="AC59" i="103"/>
  <c r="AP59" i="103"/>
  <c r="DC56" i="103"/>
  <c r="EN56" i="103"/>
  <c r="BZ56" i="103"/>
  <c r="CU56" i="103" s="1"/>
  <c r="AR55" i="103"/>
  <c r="AP55" i="103"/>
  <c r="AC55" i="103"/>
  <c r="BB55" i="103"/>
  <c r="AQ55" i="103"/>
  <c r="AR53" i="103"/>
  <c r="BB53" i="103"/>
  <c r="AQ53" i="103"/>
  <c r="AP53" i="103"/>
  <c r="AC53" i="103"/>
  <c r="EN73" i="103"/>
  <c r="BZ73" i="103"/>
  <c r="DC73" i="103"/>
  <c r="BB70" i="103"/>
  <c r="AQ70" i="103"/>
  <c r="AR70" i="103"/>
  <c r="AC70" i="103"/>
  <c r="AP70" i="103"/>
  <c r="AA65" i="103"/>
  <c r="BB61" i="103"/>
  <c r="AQ61" i="103"/>
  <c r="AP61" i="103"/>
  <c r="AR61" i="103"/>
  <c r="AC61" i="103"/>
  <c r="BB63" i="103"/>
  <c r="AQ63" i="103"/>
  <c r="AR63" i="103"/>
  <c r="AC63" i="103"/>
  <c r="AP63" i="103"/>
  <c r="EN58" i="103"/>
  <c r="BZ58" i="103"/>
  <c r="DC58" i="103"/>
  <c r="AR57" i="103"/>
  <c r="AP57" i="103"/>
  <c r="AC57" i="103"/>
  <c r="BB57" i="103"/>
  <c r="AQ57" i="103"/>
  <c r="DC54" i="103"/>
  <c r="EN54" i="103"/>
  <c r="BZ54" i="103"/>
  <c r="CU54" i="103" s="1"/>
  <c r="AR25" i="149"/>
  <c r="AC25" i="149"/>
  <c r="EN27" i="149"/>
  <c r="BZ27" i="149"/>
  <c r="DC27" i="149"/>
  <c r="CU27" i="149" s="1"/>
  <c r="CU71" i="149"/>
  <c r="CU69" i="149"/>
  <c r="EN24" i="149"/>
  <c r="BZ24" i="149"/>
  <c r="DC24" i="149"/>
  <c r="CD26" i="149"/>
  <c r="CC26" i="149" s="1"/>
  <c r="AA26" i="149"/>
  <c r="DC26" i="149"/>
  <c r="CU26" i="149" s="1"/>
  <c r="CZ74" i="149"/>
  <c r="CU73" i="149"/>
  <c r="DC65" i="149"/>
  <c r="CU65" i="149" s="1"/>
  <c r="CU70" i="149"/>
  <c r="CU68" i="149"/>
  <c r="CD25" i="149"/>
  <c r="CC25" i="149" s="1"/>
  <c r="AA25" i="149"/>
  <c r="DC25" i="149"/>
  <c r="CU25" i="149" s="1"/>
  <c r="EN19" i="149"/>
  <c r="BZ19" i="149"/>
  <c r="DC19" i="149"/>
  <c r="DC22" i="149"/>
  <c r="CU22" i="149" s="1"/>
  <c r="DC15" i="149"/>
  <c r="CU15" i="149" s="1"/>
  <c r="EN21" i="149"/>
  <c r="BZ21" i="149"/>
  <c r="DC21" i="149"/>
  <c r="CU21" i="149" s="1"/>
  <c r="EN20" i="149"/>
  <c r="BZ20" i="149"/>
  <c r="DC20" i="149"/>
  <c r="AA22" i="149"/>
  <c r="AA15" i="149"/>
  <c r="AA65" i="149"/>
  <c r="EN75" i="149"/>
  <c r="BZ75" i="149"/>
  <c r="DC75" i="149"/>
  <c r="CZ75" i="149"/>
  <c r="EN74" i="149"/>
  <c r="DC74" i="149"/>
  <c r="CU74" i="149" s="1"/>
  <c r="AA72" i="149"/>
  <c r="CD72" i="149"/>
  <c r="CC72" i="149" s="1"/>
  <c r="DC72" i="149"/>
  <c r="CU72" i="149" s="1"/>
  <c r="BB66" i="149"/>
  <c r="AR66" i="149"/>
  <c r="AC66" i="149"/>
  <c r="AG66" i="149"/>
  <c r="AS66" i="149"/>
  <c r="CU73" i="103" l="1"/>
  <c r="CU64" i="103"/>
  <c r="CU69" i="103"/>
  <c r="CU71" i="103"/>
  <c r="CU15" i="103"/>
  <c r="CU14" i="103"/>
  <c r="CU62" i="103"/>
  <c r="CU27" i="103"/>
  <c r="CU19" i="103"/>
  <c r="CU22" i="103"/>
  <c r="CU17" i="103"/>
  <c r="CU20" i="103"/>
  <c r="CU30" i="103"/>
  <c r="CU58" i="103"/>
  <c r="CU66" i="103"/>
  <c r="CU60" i="103"/>
  <c r="CU34" i="103"/>
  <c r="CU24" i="103"/>
  <c r="CU35" i="103"/>
  <c r="CD23" i="103"/>
  <c r="CC23" i="103" s="1"/>
  <c r="AA23" i="103"/>
  <c r="DC23" i="103"/>
  <c r="CU23" i="103" s="1"/>
  <c r="CD18" i="103"/>
  <c r="CC18" i="103" s="1"/>
  <c r="DC18" i="103"/>
  <c r="CU18" i="103" s="1"/>
  <c r="AA18" i="103"/>
  <c r="CD21" i="103"/>
  <c r="CC21" i="103" s="1"/>
  <c r="AA21" i="103"/>
  <c r="DC21" i="103"/>
  <c r="CU21" i="103" s="1"/>
  <c r="CD33" i="103"/>
  <c r="CC33" i="103" s="1"/>
  <c r="AA33" i="103"/>
  <c r="DC33" i="103"/>
  <c r="CU33" i="103" s="1"/>
  <c r="CD16" i="103"/>
  <c r="CC16" i="103" s="1"/>
  <c r="DC16" i="103"/>
  <c r="CU16" i="103" s="1"/>
  <c r="AA16" i="103"/>
  <c r="CD57" i="103"/>
  <c r="CC57" i="103" s="1"/>
  <c r="AA57" i="103"/>
  <c r="DC57" i="103"/>
  <c r="CU57" i="103" s="1"/>
  <c r="CD61" i="103"/>
  <c r="CC61" i="103" s="1"/>
  <c r="AA61" i="103"/>
  <c r="DC61" i="103"/>
  <c r="CU61" i="103" s="1"/>
  <c r="CD70" i="103"/>
  <c r="CC70" i="103" s="1"/>
  <c r="DC70" i="103"/>
  <c r="CU70" i="103" s="1"/>
  <c r="AA70" i="103"/>
  <c r="CD53" i="103"/>
  <c r="CC53" i="103" s="1"/>
  <c r="AA53" i="103"/>
  <c r="DC53" i="103"/>
  <c r="CU53" i="103" s="1"/>
  <c r="CD72" i="103"/>
  <c r="CC72" i="103" s="1"/>
  <c r="AA72" i="103"/>
  <c r="DC72" i="103"/>
  <c r="CU72" i="103" s="1"/>
  <c r="CD63" i="103"/>
  <c r="CC63" i="103" s="1"/>
  <c r="AA63" i="103"/>
  <c r="DC63" i="103"/>
  <c r="CU63" i="103" s="1"/>
  <c r="CD55" i="103"/>
  <c r="CC55" i="103" s="1"/>
  <c r="DC55" i="103"/>
  <c r="CU55" i="103" s="1"/>
  <c r="AA55" i="103"/>
  <c r="CD59" i="103"/>
  <c r="CC59" i="103" s="1"/>
  <c r="DC59" i="103"/>
  <c r="CU59" i="103" s="1"/>
  <c r="AA59" i="103"/>
  <c r="CD74" i="103"/>
  <c r="CC74" i="103" s="1"/>
  <c r="DC74" i="103"/>
  <c r="CU74" i="103" s="1"/>
  <c r="AA74" i="103"/>
  <c r="CU75" i="149"/>
  <c r="CU24" i="149"/>
  <c r="CU20" i="149"/>
  <c r="CU19" i="149"/>
  <c r="AA66" i="149"/>
  <c r="CD66" i="149"/>
  <c r="CC66" i="149" s="1"/>
  <c r="DC66" i="149"/>
  <c r="CU66" i="149" s="1"/>
  <c r="EE77" i="103" l="1"/>
  <c r="EF77" i="103" s="1"/>
  <c r="DM77" i="103"/>
  <c r="DH77" i="103"/>
  <c r="DL77" i="103" s="1"/>
  <c r="DG77" i="103"/>
  <c r="DF77" i="103"/>
  <c r="DD77" i="103"/>
  <c r="CX77" i="103"/>
  <c r="CW77" i="103"/>
  <c r="DA77" i="103" s="1"/>
  <c r="CP77" i="103"/>
  <c r="CK77" i="103"/>
  <c r="CE77" i="103"/>
  <c r="CB77" i="103"/>
  <c r="CA77" i="103"/>
  <c r="BY77" i="103"/>
  <c r="BP77" i="103"/>
  <c r="BF77" i="103"/>
  <c r="BE77" i="103"/>
  <c r="BD77" i="103"/>
  <c r="BC77" i="103"/>
  <c r="AO77" i="103"/>
  <c r="Z77" i="103"/>
  <c r="W77" i="103"/>
  <c r="U77" i="103"/>
  <c r="T77" i="103"/>
  <c r="Q77" i="103"/>
  <c r="O77" i="103" s="1"/>
  <c r="M77" i="103"/>
  <c r="D77" i="103"/>
  <c r="EE76" i="103"/>
  <c r="EF76" i="103" s="1"/>
  <c r="DM76" i="103"/>
  <c r="DH76" i="103"/>
  <c r="DI76" i="103" s="1"/>
  <c r="DG76" i="103"/>
  <c r="DF76" i="103"/>
  <c r="DD76" i="103"/>
  <c r="CW76" i="103"/>
  <c r="CY76" i="103" s="1"/>
  <c r="CP76" i="103"/>
  <c r="CK76" i="103"/>
  <c r="CE76" i="103"/>
  <c r="CB76" i="103"/>
  <c r="CA76" i="103"/>
  <c r="BY76" i="103"/>
  <c r="BP76" i="103"/>
  <c r="BF76" i="103"/>
  <c r="BE76" i="103"/>
  <c r="AD76" i="103" s="1"/>
  <c r="BB76" i="103" s="1"/>
  <c r="BD76" i="103"/>
  <c r="BC76" i="103"/>
  <c r="AO76" i="103"/>
  <c r="Z76" i="103"/>
  <c r="W76" i="103"/>
  <c r="U76" i="103"/>
  <c r="T76" i="103"/>
  <c r="Q76" i="103"/>
  <c r="O76" i="103" s="1"/>
  <c r="M76" i="103"/>
  <c r="D76" i="103"/>
  <c r="EE75" i="103"/>
  <c r="EF75" i="103" s="1"/>
  <c r="DM75" i="103"/>
  <c r="DH75" i="103"/>
  <c r="DL75" i="103" s="1"/>
  <c r="DG75" i="103"/>
  <c r="DF75" i="103"/>
  <c r="DD75" i="103"/>
  <c r="CX75" i="103"/>
  <c r="CW75" i="103"/>
  <c r="DA75" i="103" s="1"/>
  <c r="CP75" i="103"/>
  <c r="CK75" i="103"/>
  <c r="CE75" i="103"/>
  <c r="CB75" i="103"/>
  <c r="CA75" i="103"/>
  <c r="BY75" i="103"/>
  <c r="BF75" i="103" s="1"/>
  <c r="BP75" i="103"/>
  <c r="BE75" i="103"/>
  <c r="BD75" i="103"/>
  <c r="BC75" i="103"/>
  <c r="AP75" i="103"/>
  <c r="AO75" i="103"/>
  <c r="Z75" i="103"/>
  <c r="W75" i="103"/>
  <c r="U75" i="103"/>
  <c r="T75" i="103"/>
  <c r="Q75" i="103"/>
  <c r="O75" i="103" s="1"/>
  <c r="M75" i="103"/>
  <c r="D75" i="103"/>
  <c r="X76" i="103" l="1"/>
  <c r="CJ76" i="103" s="1"/>
  <c r="EM76" i="103"/>
  <c r="AE75" i="103"/>
  <c r="AR75" i="103" s="1"/>
  <c r="CV75" i="103"/>
  <c r="DI75" i="103"/>
  <c r="DB77" i="103"/>
  <c r="X75" i="103"/>
  <c r="CJ75" i="103" s="1"/>
  <c r="EN75" i="103"/>
  <c r="BZ75" i="103"/>
  <c r="DB75" i="103"/>
  <c r="DL76" i="103"/>
  <c r="AE77" i="103"/>
  <c r="CV77" i="103"/>
  <c r="BZ77" i="103" s="1"/>
  <c r="DI77" i="103"/>
  <c r="CD76" i="103"/>
  <c r="AA76" i="103"/>
  <c r="AE76" i="103"/>
  <c r="AR76" i="103" s="1"/>
  <c r="X77" i="103"/>
  <c r="CJ77" i="103" s="1"/>
  <c r="EN77" i="103"/>
  <c r="AP76" i="103"/>
  <c r="AC76" i="103"/>
  <c r="AQ76" i="103"/>
  <c r="CC76" i="103"/>
  <c r="CX76" i="103"/>
  <c r="CZ76" i="103" s="1"/>
  <c r="CV76" i="103"/>
  <c r="EM77" i="103"/>
  <c r="AD77" i="103"/>
  <c r="EM75" i="103"/>
  <c r="BB75" i="103"/>
  <c r="CD75" i="103" s="1"/>
  <c r="CC75" i="103" s="1"/>
  <c r="DA76" i="103"/>
  <c r="AQ75" i="103"/>
  <c r="CY75" i="103"/>
  <c r="CZ75" i="103" s="1"/>
  <c r="CY77" i="103"/>
  <c r="CZ77" i="103" s="1"/>
  <c r="DB76" i="103" l="1"/>
  <c r="DC75" i="103"/>
  <c r="CU75" i="103" s="1"/>
  <c r="BB77" i="103"/>
  <c r="AQ77" i="103"/>
  <c r="AR77" i="103"/>
  <c r="AC77" i="103"/>
  <c r="AP77" i="103"/>
  <c r="AA75" i="103"/>
  <c r="EN76" i="103"/>
  <c r="BZ76" i="103"/>
  <c r="DC76" i="103"/>
  <c r="CU76" i="103" l="1"/>
  <c r="CD77" i="103"/>
  <c r="CC77" i="103" s="1"/>
  <c r="DC77" i="103"/>
  <c r="CU77" i="103" s="1"/>
  <c r="AA77" i="103"/>
  <c r="EE77" i="149" l="1"/>
  <c r="EF77" i="149" s="1"/>
  <c r="DM77" i="149"/>
  <c r="DH77" i="149"/>
  <c r="DL77" i="149" s="1"/>
  <c r="DG77" i="149"/>
  <c r="DF77" i="149"/>
  <c r="DD77" i="149"/>
  <c r="CX77" i="149"/>
  <c r="CW77" i="149"/>
  <c r="DA77" i="149" s="1"/>
  <c r="CP77" i="149"/>
  <c r="CK77" i="149"/>
  <c r="CE77" i="149"/>
  <c r="CB77" i="149"/>
  <c r="CA77" i="149"/>
  <c r="BZ77" i="149"/>
  <c r="BY77" i="149"/>
  <c r="BF77" i="149" s="1"/>
  <c r="BE77" i="149"/>
  <c r="BB77" i="149" s="1"/>
  <c r="BD77" i="149"/>
  <c r="BC77" i="149"/>
  <c r="AP77" i="149"/>
  <c r="AO77" i="149"/>
  <c r="Z77" i="149"/>
  <c r="W77" i="149"/>
  <c r="U77" i="149"/>
  <c r="T77" i="149"/>
  <c r="Q77" i="149"/>
  <c r="O77" i="149" s="1"/>
  <c r="M77" i="149"/>
  <c r="D77" i="149"/>
  <c r="X77" i="149" l="1"/>
  <c r="CJ77" i="149" s="1"/>
  <c r="DB77" i="149"/>
  <c r="CD77" i="149"/>
  <c r="CC77" i="149" s="1"/>
  <c r="AA77" i="149"/>
  <c r="AE77" i="149"/>
  <c r="AR77" i="149" s="1"/>
  <c r="CV77" i="149"/>
  <c r="EN77" i="149" s="1"/>
  <c r="DI77" i="149"/>
  <c r="DC77" i="149"/>
  <c r="CU77" i="149" s="1"/>
  <c r="AQ77" i="149"/>
  <c r="EM77" i="149"/>
  <c r="CY77" i="149"/>
  <c r="CZ77" i="149" s="1"/>
  <c r="CA11" i="149" l="1"/>
  <c r="CC11" i="149"/>
  <c r="CD11" i="149"/>
  <c r="CI11" i="149"/>
  <c r="CP11" i="149"/>
  <c r="CQ11" i="149"/>
  <c r="CR11" i="149"/>
  <c r="CS11" i="149" s="1"/>
  <c r="CW11" i="149"/>
  <c r="CY11" i="149"/>
  <c r="CZ11" i="149"/>
  <c r="DA11" i="149"/>
  <c r="DF11" i="149"/>
  <c r="DV11" i="149"/>
  <c r="DW11" i="149" s="1"/>
  <c r="ED11" i="149"/>
  <c r="BB49" i="149"/>
  <c r="BE49" i="149"/>
  <c r="BF49" i="149"/>
  <c r="BZ49" i="149"/>
  <c r="BG49" i="149" s="1"/>
  <c r="CB49" i="149"/>
  <c r="CC49" i="149"/>
  <c r="CF49" i="149"/>
  <c r="CL49" i="149"/>
  <c r="CQ49" i="149"/>
  <c r="CX49" i="149"/>
  <c r="CZ49" i="149" s="1"/>
  <c r="DE49" i="149"/>
  <c r="DG49" i="149"/>
  <c r="CY49" i="149" s="1"/>
  <c r="DH49" i="149"/>
  <c r="DI49" i="149"/>
  <c r="DJ49" i="149" s="1"/>
  <c r="DN49" i="149"/>
  <c r="ED49" i="149"/>
  <c r="EE49" i="149" s="1"/>
  <c r="BC51" i="149"/>
  <c r="BD51" i="149"/>
  <c r="BH51" i="149"/>
  <c r="BQ51" i="149"/>
  <c r="BF51" i="149" s="1"/>
  <c r="BS51" i="149"/>
  <c r="BY51" i="149"/>
  <c r="BZ51" i="149"/>
  <c r="CE51" i="149"/>
  <c r="CJ51" i="149"/>
  <c r="CQ51" i="149"/>
  <c r="CS51" i="149" s="1"/>
  <c r="CX51" i="149"/>
  <c r="CZ51" i="149"/>
  <c r="CR51" i="149" s="1"/>
  <c r="DA51" i="149"/>
  <c r="DB51" i="149"/>
  <c r="DC51" i="149" s="1"/>
  <c r="DG51" i="149"/>
  <c r="DW51" i="149"/>
  <c r="DX51" i="149" s="1"/>
  <c r="BC78" i="149"/>
  <c r="BD78" i="149"/>
  <c r="BE78" i="149"/>
  <c r="BB78" i="149" s="1"/>
  <c r="CD78" i="149" s="1"/>
  <c r="BY78" i="149"/>
  <c r="BF78" i="149" s="1"/>
  <c r="CA78" i="149"/>
  <c r="CB78" i="149"/>
  <c r="CE78" i="149"/>
  <c r="CK78" i="149"/>
  <c r="CP78" i="149"/>
  <c r="CW78" i="149"/>
  <c r="DD78" i="149"/>
  <c r="DF78" i="149"/>
  <c r="CX78" i="149" s="1"/>
  <c r="DG78" i="149"/>
  <c r="DH78" i="149"/>
  <c r="DI78" i="149" s="1"/>
  <c r="DM78" i="149"/>
  <c r="EE78" i="149"/>
  <c r="EF78" i="149" s="1"/>
  <c r="BC79" i="149"/>
  <c r="BD79" i="149"/>
  <c r="BE79" i="149"/>
  <c r="BB79" i="149" s="1"/>
  <c r="CD79" i="149" s="1"/>
  <c r="BY79" i="149"/>
  <c r="BF79" i="149" s="1"/>
  <c r="BZ79" i="149"/>
  <c r="CA79" i="149"/>
  <c r="CB79" i="149"/>
  <c r="CE79" i="149"/>
  <c r="CK79" i="149"/>
  <c r="CP79" i="149"/>
  <c r="CW79" i="149"/>
  <c r="CY79" i="149" s="1"/>
  <c r="DD79" i="149"/>
  <c r="DF79" i="149"/>
  <c r="DG79" i="149"/>
  <c r="DH79" i="149"/>
  <c r="DI79" i="149" s="1"/>
  <c r="DM79" i="149"/>
  <c r="EE79" i="149"/>
  <c r="EF79" i="149" s="1"/>
  <c r="BC80" i="149"/>
  <c r="BD80" i="149"/>
  <c r="BE80" i="149"/>
  <c r="BB80" i="149" s="1"/>
  <c r="CD80" i="149" s="1"/>
  <c r="BY80" i="149"/>
  <c r="BF80" i="149" s="1"/>
  <c r="BZ80" i="149"/>
  <c r="CA80" i="149"/>
  <c r="CB80" i="149"/>
  <c r="CE80" i="149"/>
  <c r="CK80" i="149"/>
  <c r="CP80" i="149"/>
  <c r="CW80" i="149"/>
  <c r="DA80" i="149" s="1"/>
  <c r="DD80" i="149"/>
  <c r="DF80" i="149"/>
  <c r="CX80" i="149" s="1"/>
  <c r="DG80" i="149"/>
  <c r="DH80" i="149"/>
  <c r="DI80" i="149" s="1"/>
  <c r="DM80" i="149"/>
  <c r="EE80" i="149"/>
  <c r="EF80" i="149" s="1"/>
  <c r="BC81" i="149"/>
  <c r="BD81" i="149"/>
  <c r="BE81" i="149"/>
  <c r="BB81" i="149" s="1"/>
  <c r="CD81" i="149" s="1"/>
  <c r="BY81" i="149"/>
  <c r="BF81" i="149" s="1"/>
  <c r="CA81" i="149"/>
  <c r="CB81" i="149"/>
  <c r="CE81" i="149"/>
  <c r="CK81" i="149"/>
  <c r="CP81" i="149"/>
  <c r="CW81" i="149"/>
  <c r="CY81" i="149" s="1"/>
  <c r="DD81" i="149"/>
  <c r="DF81" i="149"/>
  <c r="CX81" i="149" s="1"/>
  <c r="DG81" i="149"/>
  <c r="DH81" i="149"/>
  <c r="DI81" i="149" s="1"/>
  <c r="DM81" i="149"/>
  <c r="EE81" i="149"/>
  <c r="EF81" i="149" s="1"/>
  <c r="BC82" i="149"/>
  <c r="BD82" i="149"/>
  <c r="BE82" i="149"/>
  <c r="BY82" i="149"/>
  <c r="BF82" i="149" s="1"/>
  <c r="CA82" i="149"/>
  <c r="CB82" i="149"/>
  <c r="CE82" i="149"/>
  <c r="CK82" i="149"/>
  <c r="CP82" i="149"/>
  <c r="CW82" i="149"/>
  <c r="CY82" i="149" s="1"/>
  <c r="DD82" i="149"/>
  <c r="DF82" i="149"/>
  <c r="CX82" i="149" s="1"/>
  <c r="DG82" i="149"/>
  <c r="DH82" i="149"/>
  <c r="DI82" i="149" s="1"/>
  <c r="DM82" i="149"/>
  <c r="EE82" i="149"/>
  <c r="EF82" i="149" s="1"/>
  <c r="BC83" i="149"/>
  <c r="BD83" i="149"/>
  <c r="BE83" i="149"/>
  <c r="BY83" i="149"/>
  <c r="BF83" i="149" s="1"/>
  <c r="CA83" i="149"/>
  <c r="CB83" i="149"/>
  <c r="CE83" i="149"/>
  <c r="CK83" i="149"/>
  <c r="CP83" i="149"/>
  <c r="CW83" i="149"/>
  <c r="CY83" i="149" s="1"/>
  <c r="DD83" i="149"/>
  <c r="DF83" i="149"/>
  <c r="CX83" i="149" s="1"/>
  <c r="DG83" i="149"/>
  <c r="DH83" i="149"/>
  <c r="DI83" i="149" s="1"/>
  <c r="DM83" i="149"/>
  <c r="EE83" i="149"/>
  <c r="EF83" i="149" s="1"/>
  <c r="BC84" i="149"/>
  <c r="BD84" i="149"/>
  <c r="BE84" i="149"/>
  <c r="BY84" i="149"/>
  <c r="BF84" i="149" s="1"/>
  <c r="BZ84" i="149"/>
  <c r="CA84" i="149"/>
  <c r="CB84" i="149"/>
  <c r="CE84" i="149"/>
  <c r="CK84" i="149"/>
  <c r="CP84" i="149"/>
  <c r="CW84" i="149"/>
  <c r="CY84" i="149" s="1"/>
  <c r="DA84" i="149"/>
  <c r="DD84" i="149"/>
  <c r="DF84" i="149"/>
  <c r="CX84" i="149" s="1"/>
  <c r="DG84" i="149"/>
  <c r="DH84" i="149"/>
  <c r="DI84" i="149" s="1"/>
  <c r="DM84" i="149"/>
  <c r="EE84" i="149"/>
  <c r="EF84" i="149" s="1"/>
  <c r="BC85" i="149"/>
  <c r="BD85" i="149"/>
  <c r="BE85" i="149"/>
  <c r="BY85" i="149"/>
  <c r="BF85" i="149" s="1"/>
  <c r="BZ85" i="149"/>
  <c r="CA85" i="149"/>
  <c r="CB85" i="149"/>
  <c r="CE85" i="149"/>
  <c r="CK85" i="149"/>
  <c r="CP85" i="149"/>
  <c r="CW85" i="149"/>
  <c r="CY85" i="149" s="1"/>
  <c r="DD85" i="149"/>
  <c r="DF85" i="149"/>
  <c r="CX85" i="149" s="1"/>
  <c r="DG85" i="149"/>
  <c r="DH85" i="149"/>
  <c r="DI85" i="149" s="1"/>
  <c r="DM85" i="149"/>
  <c r="EE85" i="149"/>
  <c r="EF85" i="149" s="1"/>
  <c r="BC86" i="149"/>
  <c r="BD86" i="149"/>
  <c r="BE86" i="149"/>
  <c r="BY86" i="149"/>
  <c r="BF86" i="149" s="1"/>
  <c r="CA86" i="149"/>
  <c r="CB86" i="149"/>
  <c r="CE86" i="149"/>
  <c r="CK86" i="149"/>
  <c r="CP86" i="149"/>
  <c r="CW86" i="149"/>
  <c r="CY86" i="149"/>
  <c r="DA86" i="149"/>
  <c r="DD86" i="149"/>
  <c r="DF86" i="149"/>
  <c r="CX86" i="149" s="1"/>
  <c r="DG86" i="149"/>
  <c r="CV86" i="149" s="1"/>
  <c r="DH86" i="149"/>
  <c r="DI86" i="149"/>
  <c r="DL86" i="149"/>
  <c r="DM86" i="149"/>
  <c r="EE86" i="149"/>
  <c r="EF86" i="149"/>
  <c r="BC87" i="149"/>
  <c r="BD87" i="149"/>
  <c r="BE87" i="149"/>
  <c r="BY87" i="149"/>
  <c r="BF87" i="149" s="1"/>
  <c r="CA87" i="149"/>
  <c r="CB87" i="149"/>
  <c r="CE87" i="149"/>
  <c r="CK87" i="149"/>
  <c r="CP87" i="149"/>
  <c r="CW87" i="149"/>
  <c r="CY87" i="149" s="1"/>
  <c r="DD87" i="149"/>
  <c r="DF87" i="149"/>
  <c r="CX87" i="149" s="1"/>
  <c r="DG87" i="149"/>
  <c r="DH87" i="149"/>
  <c r="DI87" i="149" s="1"/>
  <c r="DM87" i="149"/>
  <c r="EE87" i="149"/>
  <c r="EF87" i="149" s="1"/>
  <c r="BC88" i="149"/>
  <c r="BD88" i="149"/>
  <c r="BE88" i="149"/>
  <c r="BY88" i="149"/>
  <c r="BF88" i="149" s="1"/>
  <c r="CA88" i="149"/>
  <c r="CB88" i="149"/>
  <c r="CE88" i="149"/>
  <c r="CK88" i="149"/>
  <c r="CP88" i="149"/>
  <c r="CW88" i="149"/>
  <c r="CY88" i="149" s="1"/>
  <c r="DD88" i="149"/>
  <c r="DF88" i="149"/>
  <c r="CX88" i="149" s="1"/>
  <c r="DG88" i="149"/>
  <c r="DH88" i="149"/>
  <c r="DI88" i="149" s="1"/>
  <c r="DM88" i="149"/>
  <c r="EE88" i="149"/>
  <c r="EF88" i="149" s="1"/>
  <c r="BC89" i="149"/>
  <c r="BD89" i="149"/>
  <c r="BE89" i="149"/>
  <c r="BY89" i="149"/>
  <c r="BF89" i="149" s="1"/>
  <c r="CA89" i="149"/>
  <c r="CB89" i="149"/>
  <c r="CE89" i="149"/>
  <c r="CK89" i="149"/>
  <c r="CP89" i="149"/>
  <c r="CW89" i="149"/>
  <c r="CY89" i="149" s="1"/>
  <c r="DD89" i="149"/>
  <c r="DF89" i="149"/>
  <c r="CX89" i="149" s="1"/>
  <c r="DG89" i="149"/>
  <c r="DH89" i="149"/>
  <c r="DI89" i="149" s="1"/>
  <c r="DM89" i="149"/>
  <c r="EE89" i="149"/>
  <c r="EF89" i="149" s="1"/>
  <c r="BC90" i="149"/>
  <c r="BD90" i="149"/>
  <c r="BE90" i="149"/>
  <c r="BY90" i="149"/>
  <c r="BF90" i="149" s="1"/>
  <c r="CA90" i="149"/>
  <c r="CB90" i="149"/>
  <c r="CE90" i="149"/>
  <c r="CK90" i="149"/>
  <c r="CP90" i="149"/>
  <c r="CW90" i="149"/>
  <c r="CY90" i="149" s="1"/>
  <c r="DD90" i="149"/>
  <c r="DF90" i="149"/>
  <c r="CX90" i="149" s="1"/>
  <c r="DG90" i="149"/>
  <c r="DH90" i="149"/>
  <c r="DI90" i="149" s="1"/>
  <c r="DM90" i="149"/>
  <c r="EE90" i="149"/>
  <c r="EF90" i="149" s="1"/>
  <c r="BC91" i="149"/>
  <c r="BD91" i="149"/>
  <c r="BE91" i="149"/>
  <c r="BY91" i="149"/>
  <c r="BF91" i="149" s="1"/>
  <c r="CA91" i="149"/>
  <c r="CB91" i="149"/>
  <c r="CE91" i="149"/>
  <c r="CK91" i="149"/>
  <c r="CP91" i="149"/>
  <c r="CW91" i="149"/>
  <c r="CY91" i="149" s="1"/>
  <c r="DD91" i="149"/>
  <c r="DF91" i="149"/>
  <c r="CX91" i="149" s="1"/>
  <c r="DG91" i="149"/>
  <c r="DH91" i="149"/>
  <c r="DI91" i="149" s="1"/>
  <c r="DM91" i="149"/>
  <c r="EE91" i="149"/>
  <c r="EF91" i="149" s="1"/>
  <c r="BC92" i="149"/>
  <c r="BD92" i="149"/>
  <c r="BE92" i="149"/>
  <c r="BY92" i="149"/>
  <c r="BF92" i="149" s="1"/>
  <c r="CA92" i="149"/>
  <c r="CB92" i="149"/>
  <c r="CE92" i="149"/>
  <c r="CK92" i="149"/>
  <c r="CP92" i="149"/>
  <c r="CW92" i="149"/>
  <c r="CY92" i="149" s="1"/>
  <c r="DD92" i="149"/>
  <c r="DF92" i="149"/>
  <c r="CX92" i="149" s="1"/>
  <c r="DG92" i="149"/>
  <c r="DH92" i="149"/>
  <c r="DI92" i="149" s="1"/>
  <c r="DM92" i="149"/>
  <c r="EE92" i="149"/>
  <c r="EF92" i="149" s="1"/>
  <c r="BC93" i="149"/>
  <c r="BD93" i="149"/>
  <c r="BE93" i="149"/>
  <c r="BF93" i="149"/>
  <c r="BC94" i="149"/>
  <c r="BD94" i="149"/>
  <c r="BE94" i="149"/>
  <c r="BY94" i="149"/>
  <c r="BF94" i="149" s="1"/>
  <c r="CA94" i="149"/>
  <c r="CB94" i="149"/>
  <c r="CE94" i="149"/>
  <c r="CK94" i="149"/>
  <c r="CP94" i="149"/>
  <c r="CW94" i="149"/>
  <c r="DA94" i="149" s="1"/>
  <c r="DD94" i="149"/>
  <c r="DF94" i="149"/>
  <c r="CX94" i="149" s="1"/>
  <c r="DG94" i="149"/>
  <c r="DH94" i="149"/>
  <c r="DI94" i="149" s="1"/>
  <c r="DM94" i="149"/>
  <c r="EE94" i="149"/>
  <c r="EF94" i="149" s="1"/>
  <c r="CV78" i="149" l="1"/>
  <c r="DA91" i="149"/>
  <c r="DA82" i="149"/>
  <c r="DA79" i="149"/>
  <c r="DL94" i="149"/>
  <c r="DL88" i="149"/>
  <c r="DA92" i="149"/>
  <c r="DA90" i="149"/>
  <c r="DA88" i="149"/>
  <c r="DL79" i="149"/>
  <c r="CU51" i="149"/>
  <c r="DL92" i="149"/>
  <c r="DL91" i="149"/>
  <c r="CV91" i="149"/>
  <c r="CZ89" i="149"/>
  <c r="CV88" i="149"/>
  <c r="DA81" i="149"/>
  <c r="DB49" i="149"/>
  <c r="CZ87" i="149"/>
  <c r="CZ83" i="149"/>
  <c r="DL78" i="149"/>
  <c r="DA83" i="149"/>
  <c r="CY94" i="149"/>
  <c r="DL90" i="149"/>
  <c r="DA89" i="149"/>
  <c r="DA87" i="149"/>
  <c r="DA85" i="149"/>
  <c r="DL84" i="149"/>
  <c r="DL83" i="149"/>
  <c r="CV83" i="149"/>
  <c r="EN83" i="149" s="1"/>
  <c r="DL81" i="149"/>
  <c r="CV81" i="149"/>
  <c r="EN81" i="149" s="1"/>
  <c r="DM49" i="149"/>
  <c r="CZ94" i="149"/>
  <c r="DB94" i="149"/>
  <c r="CZ92" i="149"/>
  <c r="DB92" i="149"/>
  <c r="CZ90" i="149"/>
  <c r="DB90" i="149"/>
  <c r="CZ88" i="149"/>
  <c r="CZ86" i="149"/>
  <c r="CZ84" i="149"/>
  <c r="DB84" i="149"/>
  <c r="DA49" i="149"/>
  <c r="DC49" i="149"/>
  <c r="DB88" i="149"/>
  <c r="DB86" i="149"/>
  <c r="CV94" i="149"/>
  <c r="EN94" i="149" s="1"/>
  <c r="CV92" i="149"/>
  <c r="CV90" i="149"/>
  <c r="EN90" i="149" s="1"/>
  <c r="DL89" i="149"/>
  <c r="CV89" i="149"/>
  <c r="EN89" i="149" s="1"/>
  <c r="DL87" i="149"/>
  <c r="CV87" i="149"/>
  <c r="EN87" i="149" s="1"/>
  <c r="DL85" i="149"/>
  <c r="CV85" i="149"/>
  <c r="EN85" i="149" s="1"/>
  <c r="CV84" i="149"/>
  <c r="DL82" i="149"/>
  <c r="CV79" i="149"/>
  <c r="EN79" i="149" s="1"/>
  <c r="DB78" i="149"/>
  <c r="EE51" i="149"/>
  <c r="CW49" i="149"/>
  <c r="CA49" i="149" s="1"/>
  <c r="BZ11" i="149"/>
  <c r="CZ82" i="149"/>
  <c r="DB82" i="149"/>
  <c r="EM91" i="149"/>
  <c r="EM88" i="149"/>
  <c r="CV82" i="149"/>
  <c r="BZ82" i="149" s="1"/>
  <c r="EM82" i="149"/>
  <c r="DL80" i="149"/>
  <c r="CV80" i="149"/>
  <c r="EN80" i="149" s="1"/>
  <c r="DB80" i="149"/>
  <c r="EM79" i="149"/>
  <c r="DA78" i="149"/>
  <c r="CX79" i="149"/>
  <c r="CZ79" i="149" s="1"/>
  <c r="BZ88" i="149"/>
  <c r="EN88" i="149"/>
  <c r="BZ83" i="149"/>
  <c r="BZ94" i="149"/>
  <c r="DB91" i="149"/>
  <c r="BZ89" i="149"/>
  <c r="BZ86" i="149"/>
  <c r="EN86" i="149"/>
  <c r="DB85" i="149"/>
  <c r="EN84" i="149"/>
  <c r="DB81" i="149"/>
  <c r="BZ92" i="149"/>
  <c r="EN92" i="149"/>
  <c r="BZ91" i="149"/>
  <c r="EN91" i="149"/>
  <c r="CZ91" i="149"/>
  <c r="BZ90" i="149"/>
  <c r="DB89" i="149"/>
  <c r="DB87" i="149"/>
  <c r="CZ85" i="149"/>
  <c r="DB83" i="149"/>
  <c r="BZ81" i="149"/>
  <c r="CZ81" i="149"/>
  <c r="EM49" i="149"/>
  <c r="DC79" i="149"/>
  <c r="CU79" i="149" s="1"/>
  <c r="CT51" i="149"/>
  <c r="DB11" i="149"/>
  <c r="DE11" i="149"/>
  <c r="DB79" i="149"/>
  <c r="BZ78" i="149"/>
  <c r="EN78" i="149"/>
  <c r="CY80" i="149"/>
  <c r="CZ80" i="149" s="1"/>
  <c r="DC78" i="149"/>
  <c r="CY78" i="149"/>
  <c r="CZ78" i="149" s="1"/>
  <c r="DF51" i="149"/>
  <c r="CP51" i="149"/>
  <c r="CV51" i="149"/>
  <c r="CU11" i="149"/>
  <c r="CT11" i="149"/>
  <c r="CO11" i="149"/>
  <c r="EN82" i="149" l="1"/>
  <c r="BZ87" i="149"/>
  <c r="DC80" i="149"/>
  <c r="CU80" i="149" s="1"/>
  <c r="DC81" i="149"/>
  <c r="CU81" i="149" s="1"/>
  <c r="CU78" i="149"/>
  <c r="EE11" i="149"/>
  <c r="CV11" i="149"/>
  <c r="CN11" i="149" s="1"/>
  <c r="EF51" i="149"/>
  <c r="BR51" i="149"/>
  <c r="CW51" i="149"/>
  <c r="Z82" i="149" l="1"/>
  <c r="W82" i="149"/>
  <c r="U82" i="149"/>
  <c r="T82" i="149"/>
  <c r="Q82" i="149"/>
  <c r="O82" i="149" s="1"/>
  <c r="M82" i="149"/>
  <c r="D82" i="149"/>
  <c r="AP81" i="149"/>
  <c r="AO81" i="149"/>
  <c r="EM81" i="149" s="1"/>
  <c r="Z81" i="149"/>
  <c r="W81" i="149"/>
  <c r="U81" i="149"/>
  <c r="T81" i="149"/>
  <c r="Q81" i="149"/>
  <c r="O81" i="149" s="1"/>
  <c r="M81" i="149"/>
  <c r="D81" i="149"/>
  <c r="AP80" i="149"/>
  <c r="AO80" i="149"/>
  <c r="EM80" i="149" s="1"/>
  <c r="Z80" i="149"/>
  <c r="W80" i="149"/>
  <c r="U80" i="149"/>
  <c r="T80" i="149"/>
  <c r="Q80" i="149"/>
  <c r="O80" i="149" s="1"/>
  <c r="M80" i="149"/>
  <c r="D80" i="149"/>
  <c r="AS79" i="149"/>
  <c r="AR79" i="149"/>
  <c r="AG79" i="149"/>
  <c r="Z79" i="149"/>
  <c r="W79" i="149"/>
  <c r="X79" i="149" s="1"/>
  <c r="CJ79" i="149" s="1"/>
  <c r="CC79" i="149" s="1"/>
  <c r="U79" i="149"/>
  <c r="T79" i="149"/>
  <c r="Q79" i="149"/>
  <c r="O79" i="149" s="1"/>
  <c r="M79" i="149"/>
  <c r="D79" i="149"/>
  <c r="AP78" i="149"/>
  <c r="AO78" i="149"/>
  <c r="Z78" i="149"/>
  <c r="W78" i="149"/>
  <c r="X78" i="149" s="1"/>
  <c r="CJ78" i="149" s="1"/>
  <c r="CC78" i="149" s="1"/>
  <c r="U78" i="149"/>
  <c r="T78" i="149"/>
  <c r="Q78" i="149"/>
  <c r="O78" i="149" s="1"/>
  <c r="M78" i="149"/>
  <c r="D78" i="149"/>
  <c r="AQ78" i="149" l="1"/>
  <c r="EM78" i="149"/>
  <c r="X82" i="149"/>
  <c r="CJ82" i="149" s="1"/>
  <c r="X80" i="149"/>
  <c r="CJ80" i="149" s="1"/>
  <c r="CC80" i="149" s="1"/>
  <c r="X81" i="149"/>
  <c r="CJ81" i="149" s="1"/>
  <c r="CC81" i="149" s="1"/>
  <c r="AE79" i="149"/>
  <c r="AE82" i="149"/>
  <c r="AA81" i="149"/>
  <c r="AE78" i="149"/>
  <c r="AR78" i="149" s="1"/>
  <c r="AA78" i="149"/>
  <c r="AE80" i="149"/>
  <c r="AR80" i="149" s="1"/>
  <c r="AE81" i="149"/>
  <c r="AA79" i="149"/>
  <c r="AA80" i="149"/>
  <c r="AQ80" i="149"/>
  <c r="AQ81" i="149"/>
  <c r="AD82" i="149"/>
  <c r="BB82" i="149" l="1"/>
  <c r="AR82" i="149"/>
  <c r="AC82" i="149"/>
  <c r="AR81" i="149"/>
  <c r="AG82" i="149"/>
  <c r="AS82" i="149"/>
  <c r="CD82" i="149" l="1"/>
  <c r="CC82" i="149" s="1"/>
  <c r="DC82" i="149"/>
  <c r="CU82" i="149" s="1"/>
  <c r="AA82" i="149"/>
  <c r="EE82" i="103" l="1"/>
  <c r="EF82" i="103" s="1"/>
  <c r="DM82" i="103"/>
  <c r="DH82" i="103"/>
  <c r="DL82" i="103" s="1"/>
  <c r="DG82" i="103"/>
  <c r="DF82" i="103"/>
  <c r="DD82" i="103"/>
  <c r="CX82" i="103"/>
  <c r="CW82" i="103"/>
  <c r="DA82" i="103" s="1"/>
  <c r="CP82" i="103"/>
  <c r="CK82" i="103"/>
  <c r="CE82" i="103"/>
  <c r="CB82" i="103"/>
  <c r="CA82" i="103"/>
  <c r="BY82" i="103"/>
  <c r="BP82" i="103"/>
  <c r="BF82" i="103"/>
  <c r="BE82" i="103"/>
  <c r="BD82" i="103"/>
  <c r="BC82" i="103"/>
  <c r="AO82" i="103"/>
  <c r="Z82" i="103"/>
  <c r="W82" i="103"/>
  <c r="U82" i="103"/>
  <c r="T82" i="103"/>
  <c r="Q82" i="103"/>
  <c r="O82" i="103" s="1"/>
  <c r="M82" i="103"/>
  <c r="D82" i="103"/>
  <c r="EE81" i="103"/>
  <c r="EF81" i="103" s="1"/>
  <c r="DM81" i="103"/>
  <c r="DH81" i="103"/>
  <c r="DI81" i="103" s="1"/>
  <c r="DG81" i="103"/>
  <c r="DF81" i="103"/>
  <c r="DD81" i="103"/>
  <c r="CW81" i="103"/>
  <c r="CY81" i="103" s="1"/>
  <c r="CP81" i="103"/>
  <c r="CK81" i="103"/>
  <c r="CE81" i="103"/>
  <c r="CB81" i="103"/>
  <c r="CA81" i="103"/>
  <c r="BY81" i="103"/>
  <c r="BP81" i="103"/>
  <c r="BF81" i="103"/>
  <c r="BE81" i="103"/>
  <c r="AD81" i="103" s="1"/>
  <c r="BB81" i="103" s="1"/>
  <c r="BD81" i="103"/>
  <c r="BC81" i="103"/>
  <c r="AO81" i="103"/>
  <c r="Z81" i="103"/>
  <c r="W81" i="103"/>
  <c r="U81" i="103"/>
  <c r="T81" i="103"/>
  <c r="Q81" i="103"/>
  <c r="O81" i="103" s="1"/>
  <c r="M81" i="103"/>
  <c r="D81" i="103"/>
  <c r="EE80" i="103"/>
  <c r="EF80" i="103" s="1"/>
  <c r="DM80" i="103"/>
  <c r="DH80" i="103"/>
  <c r="DL80" i="103" s="1"/>
  <c r="DG80" i="103"/>
  <c r="DF80" i="103"/>
  <c r="DD80" i="103"/>
  <c r="CX80" i="103"/>
  <c r="CW80" i="103"/>
  <c r="DA80" i="103" s="1"/>
  <c r="CP80" i="103"/>
  <c r="CK80" i="103"/>
  <c r="CE80" i="103"/>
  <c r="CB80" i="103"/>
  <c r="CA80" i="103"/>
  <c r="BY80" i="103"/>
  <c r="BP80" i="103"/>
  <c r="BF80" i="103"/>
  <c r="BE80" i="103"/>
  <c r="BD80" i="103"/>
  <c r="BC80" i="103"/>
  <c r="AO80" i="103"/>
  <c r="Z80" i="103"/>
  <c r="W80" i="103"/>
  <c r="U80" i="103"/>
  <c r="T80" i="103"/>
  <c r="Q80" i="103"/>
  <c r="O80" i="103" s="1"/>
  <c r="M80" i="103"/>
  <c r="D80" i="103"/>
  <c r="EE79" i="103"/>
  <c r="EF79" i="103" s="1"/>
  <c r="DM79" i="103"/>
  <c r="DH79" i="103"/>
  <c r="DI79" i="103" s="1"/>
  <c r="DG79" i="103"/>
  <c r="DF79" i="103"/>
  <c r="DD79" i="103"/>
  <c r="CW79" i="103"/>
  <c r="CY79" i="103" s="1"/>
  <c r="CP79" i="103"/>
  <c r="CK79" i="103"/>
  <c r="CE79" i="103"/>
  <c r="CB79" i="103"/>
  <c r="CA79" i="103"/>
  <c r="BY79" i="103"/>
  <c r="BP79" i="103"/>
  <c r="BF79" i="103"/>
  <c r="BE79" i="103"/>
  <c r="BD79" i="103"/>
  <c r="BC79" i="103"/>
  <c r="AO79" i="103"/>
  <c r="AD79" i="103"/>
  <c r="BB79" i="103" s="1"/>
  <c r="Z79" i="103"/>
  <c r="W79" i="103"/>
  <c r="U79" i="103"/>
  <c r="T79" i="103"/>
  <c r="Q79" i="103"/>
  <c r="O79" i="103" s="1"/>
  <c r="M79" i="103"/>
  <c r="D79" i="103"/>
  <c r="EE78" i="103"/>
  <c r="EF78" i="103" s="1"/>
  <c r="DM78" i="103"/>
  <c r="DH78" i="103"/>
  <c r="DL78" i="103" s="1"/>
  <c r="DG78" i="103"/>
  <c r="DF78" i="103"/>
  <c r="DD78" i="103"/>
  <c r="CX78" i="103"/>
  <c r="CW78" i="103"/>
  <c r="DA78" i="103" s="1"/>
  <c r="CP78" i="103"/>
  <c r="CK78" i="103"/>
  <c r="CE78" i="103"/>
  <c r="CB78" i="103"/>
  <c r="CA78" i="103"/>
  <c r="BY78" i="103"/>
  <c r="BF78" i="103" s="1"/>
  <c r="BP78" i="103"/>
  <c r="BE78" i="103"/>
  <c r="BD78" i="103"/>
  <c r="BC78" i="103"/>
  <c r="AO78" i="103"/>
  <c r="Z78" i="103"/>
  <c r="W78" i="103"/>
  <c r="U78" i="103"/>
  <c r="T78" i="103"/>
  <c r="Q78" i="103"/>
  <c r="O78" i="103" s="1"/>
  <c r="M78" i="103"/>
  <c r="D78" i="103"/>
  <c r="CV82" i="103" l="1"/>
  <c r="DI82" i="103"/>
  <c r="X81" i="103"/>
  <c r="CJ81" i="103" s="1"/>
  <c r="DL81" i="103"/>
  <c r="DB78" i="103"/>
  <c r="CV80" i="103"/>
  <c r="BZ80" i="103" s="1"/>
  <c r="DI80" i="103"/>
  <c r="EN80" i="103"/>
  <c r="AE78" i="103"/>
  <c r="CV78" i="103"/>
  <c r="EN78" i="103" s="1"/>
  <c r="DI78" i="103"/>
  <c r="X79" i="103"/>
  <c r="CJ79" i="103" s="1"/>
  <c r="DB80" i="103"/>
  <c r="DB82" i="103"/>
  <c r="AE82" i="103"/>
  <c r="X78" i="103"/>
  <c r="CJ78" i="103" s="1"/>
  <c r="AE80" i="103"/>
  <c r="EM81" i="103"/>
  <c r="AE79" i="103"/>
  <c r="CD81" i="103"/>
  <c r="AA81" i="103"/>
  <c r="EM79" i="103"/>
  <c r="AE81" i="103"/>
  <c r="AR81" i="103" s="1"/>
  <c r="X82" i="103"/>
  <c r="CJ82" i="103" s="1"/>
  <c r="EN82" i="103"/>
  <c r="BZ82" i="103"/>
  <c r="BZ78" i="103"/>
  <c r="CD79" i="103"/>
  <c r="AA79" i="103"/>
  <c r="EM78" i="103"/>
  <c r="AD78" i="103"/>
  <c r="DA79" i="103"/>
  <c r="DL79" i="103"/>
  <c r="X80" i="103"/>
  <c r="CJ80" i="103" s="1"/>
  <c r="AP81" i="103"/>
  <c r="AC81" i="103"/>
  <c r="AQ81" i="103"/>
  <c r="CC81" i="103"/>
  <c r="CX81" i="103"/>
  <c r="CZ81" i="103" s="1"/>
  <c r="CV81" i="103"/>
  <c r="EM82" i="103"/>
  <c r="AD82" i="103"/>
  <c r="AR79" i="103"/>
  <c r="AP79" i="103"/>
  <c r="AC79" i="103"/>
  <c r="AQ79" i="103"/>
  <c r="CX79" i="103"/>
  <c r="DB79" i="103" s="1"/>
  <c r="CV79" i="103"/>
  <c r="EM80" i="103"/>
  <c r="AD80" i="103"/>
  <c r="DA81" i="103"/>
  <c r="CY78" i="103"/>
  <c r="CZ78" i="103" s="1"/>
  <c r="CY80" i="103"/>
  <c r="CZ80" i="103" s="1"/>
  <c r="CY82" i="103"/>
  <c r="CZ82" i="103" s="1"/>
  <c r="CC79" i="103" l="1"/>
  <c r="DB81" i="103"/>
  <c r="BB80" i="103"/>
  <c r="AQ80" i="103"/>
  <c r="AP80" i="103"/>
  <c r="AR80" i="103"/>
  <c r="AC80" i="103"/>
  <c r="EN81" i="103"/>
  <c r="BZ81" i="103"/>
  <c r="DC81" i="103"/>
  <c r="BB78" i="103"/>
  <c r="AQ78" i="103"/>
  <c r="AR78" i="103"/>
  <c r="AC78" i="103"/>
  <c r="AP78" i="103"/>
  <c r="EN79" i="103"/>
  <c r="BZ79" i="103"/>
  <c r="DC79" i="103"/>
  <c r="CZ79" i="103"/>
  <c r="BB82" i="103"/>
  <c r="AQ82" i="103"/>
  <c r="AR82" i="103"/>
  <c r="AC82" i="103"/>
  <c r="AP82" i="103"/>
  <c r="CU79" i="103" l="1"/>
  <c r="CU81" i="103"/>
  <c r="CD80" i="103"/>
  <c r="CC80" i="103" s="1"/>
  <c r="DC80" i="103"/>
  <c r="CU80" i="103" s="1"/>
  <c r="AA80" i="103"/>
  <c r="CD82" i="103"/>
  <c r="CC82" i="103" s="1"/>
  <c r="DC82" i="103"/>
  <c r="CU82" i="103" s="1"/>
  <c r="AA82" i="103"/>
  <c r="CD78" i="103"/>
  <c r="CC78" i="103" s="1"/>
  <c r="DC78" i="103"/>
  <c r="CU78" i="103" s="1"/>
  <c r="AA78" i="103"/>
  <c r="AD94" i="149" l="1"/>
  <c r="AO94" i="149"/>
  <c r="EM94" i="149" s="1"/>
  <c r="Z94" i="149"/>
  <c r="W94" i="149"/>
  <c r="U94" i="149"/>
  <c r="T94" i="149"/>
  <c r="Q94" i="149"/>
  <c r="O94" i="149" s="1"/>
  <c r="M94" i="149"/>
  <c r="D94" i="149"/>
  <c r="AD93" i="149"/>
  <c r="BB93" i="149" s="1"/>
  <c r="AO93" i="149"/>
  <c r="Z93" i="149"/>
  <c r="W93" i="149"/>
  <c r="U93" i="149"/>
  <c r="T93" i="149"/>
  <c r="M93" i="149"/>
  <c r="D93" i="149"/>
  <c r="AO92" i="149"/>
  <c r="EM92" i="149" s="1"/>
  <c r="Z92" i="149"/>
  <c r="W92" i="149"/>
  <c r="X92" i="149" s="1"/>
  <c r="CJ92" i="149" s="1"/>
  <c r="U92" i="149"/>
  <c r="T92" i="149"/>
  <c r="Q92" i="149"/>
  <c r="O92" i="149" s="1"/>
  <c r="M92" i="149"/>
  <c r="D92" i="149"/>
  <c r="Z91" i="149"/>
  <c r="W91" i="149"/>
  <c r="X91" i="149" s="1"/>
  <c r="CJ91" i="149" s="1"/>
  <c r="U91" i="149"/>
  <c r="T91" i="149"/>
  <c r="Q91" i="149"/>
  <c r="O91" i="149" s="1"/>
  <c r="M91" i="149"/>
  <c r="D91" i="149"/>
  <c r="AO90" i="149"/>
  <c r="EM90" i="149" s="1"/>
  <c r="AD90" i="149"/>
  <c r="Z90" i="149"/>
  <c r="W90" i="149"/>
  <c r="X90" i="149" s="1"/>
  <c r="CJ90" i="149" s="1"/>
  <c r="U90" i="149"/>
  <c r="T90" i="149"/>
  <c r="Q90" i="149"/>
  <c r="O90" i="149" s="1"/>
  <c r="M90" i="149"/>
  <c r="D90" i="149"/>
  <c r="AO89" i="149"/>
  <c r="EM89" i="149" s="1"/>
  <c r="AD89" i="149"/>
  <c r="Z89" i="149"/>
  <c r="W89" i="149"/>
  <c r="X89" i="149" s="1"/>
  <c r="CJ89" i="149" s="1"/>
  <c r="U89" i="149"/>
  <c r="T89" i="149"/>
  <c r="Q89" i="149"/>
  <c r="O89" i="149" s="1"/>
  <c r="M89" i="149"/>
  <c r="D89" i="149"/>
  <c r="AD88" i="149"/>
  <c r="Z88" i="149"/>
  <c r="W88" i="149"/>
  <c r="X88" i="149" s="1"/>
  <c r="CJ88" i="149" s="1"/>
  <c r="U88" i="149"/>
  <c r="T88" i="149"/>
  <c r="Q88" i="149"/>
  <c r="O88" i="149" s="1"/>
  <c r="M88" i="149"/>
  <c r="D88" i="149"/>
  <c r="AO87" i="149"/>
  <c r="EM87" i="149" s="1"/>
  <c r="Z87" i="149"/>
  <c r="W87" i="149"/>
  <c r="X87" i="149" s="1"/>
  <c r="CJ87" i="149" s="1"/>
  <c r="U87" i="149"/>
  <c r="T87" i="149"/>
  <c r="Q87" i="149"/>
  <c r="O87" i="149" s="1"/>
  <c r="M87" i="149"/>
  <c r="D87" i="149"/>
  <c r="AD86" i="149"/>
  <c r="AO86" i="149"/>
  <c r="EM86" i="149" s="1"/>
  <c r="Z86" i="149"/>
  <c r="W86" i="149"/>
  <c r="U86" i="149"/>
  <c r="T86" i="149"/>
  <c r="Q86" i="149"/>
  <c r="O86" i="149" s="1"/>
  <c r="M86" i="149"/>
  <c r="D86" i="149"/>
  <c r="AD85" i="149"/>
  <c r="AO85" i="149"/>
  <c r="EM85" i="149" s="1"/>
  <c r="Z85" i="149"/>
  <c r="W85" i="149"/>
  <c r="U85" i="149"/>
  <c r="T85" i="149"/>
  <c r="Q85" i="149"/>
  <c r="O85" i="149" s="1"/>
  <c r="M85" i="149"/>
  <c r="D85" i="149"/>
  <c r="AD84" i="149"/>
  <c r="AO84" i="149"/>
  <c r="EM84" i="149" s="1"/>
  <c r="Z84" i="149"/>
  <c r="W84" i="149"/>
  <c r="U84" i="149"/>
  <c r="T84" i="149"/>
  <c r="Q84" i="149"/>
  <c r="O84" i="149" s="1"/>
  <c r="M84" i="149"/>
  <c r="D84" i="149"/>
  <c r="AD83" i="149"/>
  <c r="AO83" i="149"/>
  <c r="EM83" i="149" s="1"/>
  <c r="Z83" i="149"/>
  <c r="W83" i="149"/>
  <c r="U83" i="149"/>
  <c r="T83" i="149"/>
  <c r="Q83" i="149"/>
  <c r="O83" i="149" s="1"/>
  <c r="M83" i="149"/>
  <c r="D83" i="149"/>
  <c r="AP84" i="149" l="1"/>
  <c r="BB84" i="149"/>
  <c r="AP86" i="149"/>
  <c r="BB86" i="149"/>
  <c r="AR88" i="149"/>
  <c r="BB88" i="149"/>
  <c r="AA88" i="149" s="1"/>
  <c r="BB89" i="149"/>
  <c r="AA89" i="149" s="1"/>
  <c r="BB94" i="149"/>
  <c r="AP83" i="149"/>
  <c r="BB83" i="149"/>
  <c r="AP85" i="149"/>
  <c r="BB85" i="149"/>
  <c r="BB90" i="149"/>
  <c r="AE86" i="149"/>
  <c r="AE87" i="149"/>
  <c r="AE93" i="149"/>
  <c r="AR93" i="149" s="1"/>
  <c r="AE92" i="149"/>
  <c r="X93" i="149"/>
  <c r="AE94" i="149"/>
  <c r="AR94" i="149" s="1"/>
  <c r="X85" i="149"/>
  <c r="CJ85" i="149" s="1"/>
  <c r="AC85" i="149"/>
  <c r="AE85" i="149"/>
  <c r="AR85" i="149" s="1"/>
  <c r="AE89" i="149"/>
  <c r="AR89" i="149" s="1"/>
  <c r="AE90" i="149"/>
  <c r="AR90" i="149" s="1"/>
  <c r="AQ93" i="149"/>
  <c r="AC93" i="149"/>
  <c r="AA93" i="149"/>
  <c r="AE83" i="149"/>
  <c r="AR83" i="149" s="1"/>
  <c r="AE84" i="149"/>
  <c r="AC88" i="149"/>
  <c r="AE88" i="149"/>
  <c r="AD91" i="149"/>
  <c r="AG91" i="149" s="1"/>
  <c r="X94" i="149"/>
  <c r="CJ94" i="149" s="1"/>
  <c r="AQ83" i="149"/>
  <c r="AQ84" i="149"/>
  <c r="AQ86" i="149"/>
  <c r="AD87" i="149"/>
  <c r="AA90" i="149"/>
  <c r="AQ94" i="149"/>
  <c r="AP94" i="149"/>
  <c r="AC94" i="149"/>
  <c r="X83" i="149"/>
  <c r="CJ83" i="149" s="1"/>
  <c r="AC83" i="149"/>
  <c r="X84" i="149"/>
  <c r="CJ84" i="149" s="1"/>
  <c r="AC84" i="149"/>
  <c r="AR84" i="149"/>
  <c r="AQ85" i="149"/>
  <c r="X86" i="149"/>
  <c r="CJ86" i="149" s="1"/>
  <c r="AC86" i="149"/>
  <c r="AR86" i="149"/>
  <c r="AG88" i="149"/>
  <c r="AS88" i="149"/>
  <c r="AC89" i="149"/>
  <c r="AP89" i="149"/>
  <c r="AC90" i="149"/>
  <c r="AP90" i="149"/>
  <c r="AE91" i="149"/>
  <c r="AD92" i="149"/>
  <c r="AQ89" i="149"/>
  <c r="AQ90" i="149"/>
  <c r="AC91" i="149" l="1"/>
  <c r="BB91" i="149"/>
  <c r="CD90" i="149"/>
  <c r="CC90" i="149" s="1"/>
  <c r="DC90" i="149"/>
  <c r="CU90" i="149" s="1"/>
  <c r="CD85" i="149"/>
  <c r="CC85" i="149" s="1"/>
  <c r="DC85" i="149"/>
  <c r="CU85" i="149" s="1"/>
  <c r="CD83" i="149"/>
  <c r="CC83" i="149" s="1"/>
  <c r="DC83" i="149"/>
  <c r="CU83" i="149" s="1"/>
  <c r="BB92" i="149"/>
  <c r="BB87" i="149"/>
  <c r="CD94" i="149"/>
  <c r="CC94" i="149" s="1"/>
  <c r="DC94" i="149"/>
  <c r="CU94" i="149" s="1"/>
  <c r="CD89" i="149"/>
  <c r="CC89" i="149" s="1"/>
  <c r="DC89" i="149"/>
  <c r="CU89" i="149" s="1"/>
  <c r="CD88" i="149"/>
  <c r="CC88" i="149" s="1"/>
  <c r="DC88" i="149"/>
  <c r="CU88" i="149" s="1"/>
  <c r="CD86" i="149"/>
  <c r="CC86" i="149" s="1"/>
  <c r="DC86" i="149"/>
  <c r="CU86" i="149" s="1"/>
  <c r="CD84" i="149"/>
  <c r="CC84" i="149" s="1"/>
  <c r="DC84" i="149"/>
  <c r="CU84" i="149" s="1"/>
  <c r="AS91" i="149"/>
  <c r="AR91" i="149"/>
  <c r="AR92" i="149"/>
  <c r="AP92" i="149"/>
  <c r="AC92" i="149"/>
  <c r="AQ92" i="149"/>
  <c r="AA85" i="149"/>
  <c r="AA94" i="149"/>
  <c r="AQ87" i="149"/>
  <c r="AR87" i="149"/>
  <c r="AC87" i="149"/>
  <c r="AP87" i="149"/>
  <c r="AA86" i="149"/>
  <c r="AA84" i="149"/>
  <c r="AA83" i="149"/>
  <c r="CD87" i="149" l="1"/>
  <c r="CC87" i="149" s="1"/>
  <c r="DC87" i="149"/>
  <c r="CU87" i="149" s="1"/>
  <c r="CD92" i="149"/>
  <c r="CC92" i="149" s="1"/>
  <c r="DC92" i="149"/>
  <c r="CU92" i="149" s="1"/>
  <c r="CD91" i="149"/>
  <c r="CC91" i="149" s="1"/>
  <c r="DC91" i="149"/>
  <c r="CU91" i="149" s="1"/>
  <c r="AA91" i="149"/>
  <c r="AA87" i="149"/>
  <c r="AA92" i="149"/>
  <c r="EE84" i="103" l="1"/>
  <c r="EF84" i="103" s="1"/>
  <c r="DM84" i="103"/>
  <c r="DH84" i="103"/>
  <c r="DL84" i="103" s="1"/>
  <c r="DG84" i="103"/>
  <c r="DF84" i="103"/>
  <c r="DD84" i="103"/>
  <c r="CX84" i="103"/>
  <c r="CW84" i="103"/>
  <c r="DA84" i="103" s="1"/>
  <c r="CP84" i="103"/>
  <c r="CK84" i="103"/>
  <c r="CE84" i="103"/>
  <c r="CB84" i="103"/>
  <c r="CA84" i="103"/>
  <c r="BY84" i="103"/>
  <c r="BP84" i="103"/>
  <c r="BF84" i="103"/>
  <c r="BE84" i="103"/>
  <c r="BD84" i="103"/>
  <c r="BC84" i="103"/>
  <c r="AO84" i="103"/>
  <c r="Z84" i="103"/>
  <c r="W84" i="103"/>
  <c r="U84" i="103"/>
  <c r="T84" i="103"/>
  <c r="Q84" i="103"/>
  <c r="O84" i="103" s="1"/>
  <c r="M84" i="103"/>
  <c r="D84" i="103"/>
  <c r="EE83" i="103"/>
  <c r="EF83" i="103" s="1"/>
  <c r="DM83" i="103"/>
  <c r="DH83" i="103"/>
  <c r="DI83" i="103" s="1"/>
  <c r="DG83" i="103"/>
  <c r="DF83" i="103"/>
  <c r="DD83" i="103"/>
  <c r="CW83" i="103"/>
  <c r="CY83" i="103" s="1"/>
  <c r="CP83" i="103"/>
  <c r="CK83" i="103"/>
  <c r="CE83" i="103"/>
  <c r="CB83" i="103"/>
  <c r="CA83" i="103"/>
  <c r="BY83" i="103"/>
  <c r="BP83" i="103"/>
  <c r="BF83" i="103"/>
  <c r="BE83" i="103"/>
  <c r="AD83" i="103" s="1"/>
  <c r="BB83" i="103" s="1"/>
  <c r="BD83" i="103"/>
  <c r="BC83" i="103"/>
  <c r="AO83" i="103"/>
  <c r="Z83" i="103"/>
  <c r="W83" i="103"/>
  <c r="U83" i="103"/>
  <c r="T83" i="103"/>
  <c r="Q83" i="103"/>
  <c r="O83" i="103" s="1"/>
  <c r="M83" i="103"/>
  <c r="D83" i="103"/>
  <c r="X83" i="103" l="1"/>
  <c r="CJ83" i="103" s="1"/>
  <c r="DL83" i="103"/>
  <c r="AE84" i="103"/>
  <c r="CV84" i="103"/>
  <c r="EN84" i="103" s="1"/>
  <c r="DI84" i="103"/>
  <c r="EM83" i="103"/>
  <c r="DB84" i="103"/>
  <c r="CD83" i="103"/>
  <c r="AA83" i="103"/>
  <c r="AE83" i="103"/>
  <c r="AR83" i="103" s="1"/>
  <c r="X84" i="103"/>
  <c r="CJ84" i="103" s="1"/>
  <c r="BZ84" i="103"/>
  <c r="AP83" i="103"/>
  <c r="AC83" i="103"/>
  <c r="AQ83" i="103"/>
  <c r="CX83" i="103"/>
  <c r="CZ83" i="103" s="1"/>
  <c r="CV83" i="103"/>
  <c r="EM84" i="103"/>
  <c r="AD84" i="103"/>
  <c r="DB83" i="103"/>
  <c r="DA83" i="103"/>
  <c r="CY84" i="103"/>
  <c r="CZ84" i="103" s="1"/>
  <c r="CC83" i="103" l="1"/>
  <c r="EN83" i="103"/>
  <c r="BZ83" i="103"/>
  <c r="DC83" i="103"/>
  <c r="BB84" i="103"/>
  <c r="AQ84" i="103"/>
  <c r="AR84" i="103"/>
  <c r="AC84" i="103"/>
  <c r="AP84" i="103"/>
  <c r="CU83" i="103" l="1"/>
  <c r="CD84" i="103"/>
  <c r="CC84" i="103" s="1"/>
  <c r="AA84" i="103"/>
  <c r="DC84" i="103"/>
  <c r="CU84" i="103" s="1"/>
  <c r="AZ51" i="149" l="1"/>
  <c r="AA51" i="149" s="1"/>
  <c r="Z51" i="149"/>
  <c r="W51" i="149"/>
  <c r="U51" i="149"/>
  <c r="T51" i="149"/>
  <c r="Q51" i="149"/>
  <c r="D51" i="149"/>
  <c r="AO49" i="149"/>
  <c r="EL49" i="149" s="1"/>
  <c r="Z49" i="149"/>
  <c r="W49" i="149"/>
  <c r="U49" i="149"/>
  <c r="T49" i="149"/>
  <c r="Q49" i="149"/>
  <c r="O49" i="149" s="1"/>
  <c r="D49" i="149"/>
  <c r="AE49" i="149" l="1"/>
  <c r="AE51" i="149"/>
  <c r="X49" i="149"/>
  <c r="CK49" i="149" s="1"/>
  <c r="X51" i="149"/>
  <c r="CD51" i="149" s="1"/>
  <c r="AD49" i="149"/>
  <c r="AD51" i="149"/>
  <c r="CA51" i="149" l="1"/>
  <c r="CO51" i="149"/>
  <c r="AR51" i="149"/>
  <c r="AC51" i="149"/>
  <c r="AS51" i="149"/>
  <c r="AG51" i="149"/>
  <c r="AR49" i="149"/>
  <c r="AP49" i="149"/>
  <c r="AC49" i="149"/>
  <c r="BA49" i="149"/>
  <c r="AQ49" i="149"/>
  <c r="CE49" i="149" l="1"/>
  <c r="CD49" i="149" s="1"/>
  <c r="DD49" i="149"/>
  <c r="CV49" i="149" s="1"/>
  <c r="AA49" i="149"/>
  <c r="EE112" i="103" l="1"/>
  <c r="EF112" i="103" s="1"/>
  <c r="DM112" i="103"/>
  <c r="DH112" i="103"/>
  <c r="DI112" i="103" s="1"/>
  <c r="DG112" i="103"/>
  <c r="DF112" i="103"/>
  <c r="CX112" i="103" s="1"/>
  <c r="DD112" i="103"/>
  <c r="CW112" i="103"/>
  <c r="DB112" i="103" s="1"/>
  <c r="CP112" i="103"/>
  <c r="CK112" i="103"/>
  <c r="CE112" i="103"/>
  <c r="CB112" i="103"/>
  <c r="CA112" i="103"/>
  <c r="BY112" i="103"/>
  <c r="BP112" i="103"/>
  <c r="BF112" i="103"/>
  <c r="BE112" i="103"/>
  <c r="BB112" i="103" s="1"/>
  <c r="CD112" i="103" s="1"/>
  <c r="BD112" i="103"/>
  <c r="BC112" i="103"/>
  <c r="AP112" i="103"/>
  <c r="AO112" i="103"/>
  <c r="AC112" i="103"/>
  <c r="Z112" i="103"/>
  <c r="W112" i="103"/>
  <c r="U112" i="103"/>
  <c r="T112" i="103"/>
  <c r="Q112" i="103"/>
  <c r="O112" i="103" s="1"/>
  <c r="M112" i="103"/>
  <c r="D112" i="103"/>
  <c r="EE111" i="103"/>
  <c r="EF111" i="103" s="1"/>
  <c r="DM111" i="103"/>
  <c r="DH111" i="103"/>
  <c r="DI111" i="103" s="1"/>
  <c r="DG111" i="103"/>
  <c r="DF111" i="103"/>
  <c r="CX111" i="103" s="1"/>
  <c r="DD111" i="103"/>
  <c r="CW111" i="103"/>
  <c r="DB111" i="103" s="1"/>
  <c r="CP111" i="103"/>
  <c r="CK111" i="103"/>
  <c r="CE111" i="103"/>
  <c r="CB111" i="103"/>
  <c r="CA111" i="103"/>
  <c r="BY111" i="103"/>
  <c r="BP111" i="103"/>
  <c r="BF111" i="103"/>
  <c r="BE111" i="103"/>
  <c r="BB111" i="103" s="1"/>
  <c r="CD111" i="103" s="1"/>
  <c r="BD111" i="103"/>
  <c r="BC111" i="103"/>
  <c r="AP111" i="103"/>
  <c r="AO111" i="103"/>
  <c r="Z111" i="103"/>
  <c r="W111" i="103"/>
  <c r="U111" i="103"/>
  <c r="T111" i="103"/>
  <c r="Q111" i="103"/>
  <c r="O111" i="103" s="1"/>
  <c r="M111" i="103"/>
  <c r="D111" i="103"/>
  <c r="EE110" i="103"/>
  <c r="EF110" i="103" s="1"/>
  <c r="DM110" i="103"/>
  <c r="DH110" i="103"/>
  <c r="DI110" i="103" s="1"/>
  <c r="DG110" i="103"/>
  <c r="DF110" i="103"/>
  <c r="DD110" i="103"/>
  <c r="CW110" i="103"/>
  <c r="CP110" i="103"/>
  <c r="CK110" i="103"/>
  <c r="CE110" i="103"/>
  <c r="CB110" i="103"/>
  <c r="CA110" i="103"/>
  <c r="BY110" i="103"/>
  <c r="BP110" i="103"/>
  <c r="BF110" i="103"/>
  <c r="BE110" i="103"/>
  <c r="BB110" i="103" s="1"/>
  <c r="BD110" i="103"/>
  <c r="BC110" i="103"/>
  <c r="AP110" i="103"/>
  <c r="AO110" i="103"/>
  <c r="Z110" i="103"/>
  <c r="W110" i="103"/>
  <c r="U110" i="103"/>
  <c r="T110" i="103"/>
  <c r="Q110" i="103"/>
  <c r="O110" i="103" s="1"/>
  <c r="M110" i="103"/>
  <c r="D110" i="103"/>
  <c r="EE109" i="103"/>
  <c r="EF109" i="103" s="1"/>
  <c r="DM109" i="103"/>
  <c r="DH109" i="103"/>
  <c r="DI109" i="103" s="1"/>
  <c r="DG109" i="103"/>
  <c r="DF109" i="103"/>
  <c r="DD109" i="103"/>
  <c r="CW109" i="103"/>
  <c r="CP109" i="103"/>
  <c r="CK109" i="103"/>
  <c r="CE109" i="103"/>
  <c r="CB109" i="103"/>
  <c r="CA109" i="103"/>
  <c r="BY109" i="103"/>
  <c r="BP109" i="103"/>
  <c r="BF109" i="103"/>
  <c r="BE109" i="103"/>
  <c r="AD109" i="103" s="1"/>
  <c r="BB109" i="103" s="1"/>
  <c r="BD109" i="103"/>
  <c r="BC109" i="103"/>
  <c r="AO109" i="103"/>
  <c r="Z109" i="103"/>
  <c r="W109" i="103"/>
  <c r="U109" i="103"/>
  <c r="T109" i="103"/>
  <c r="Q109" i="103"/>
  <c r="O109" i="103" s="1"/>
  <c r="M109" i="103"/>
  <c r="D109" i="103"/>
  <c r="EE108" i="103"/>
  <c r="EF108" i="103" s="1"/>
  <c r="DM108" i="103"/>
  <c r="DH108" i="103"/>
  <c r="DL108" i="103" s="1"/>
  <c r="DG108" i="103"/>
  <c r="DF108" i="103"/>
  <c r="DD108" i="103"/>
  <c r="CX108" i="103"/>
  <c r="CW108" i="103"/>
  <c r="DA108" i="103" s="1"/>
  <c r="CP108" i="103"/>
  <c r="CK108" i="103"/>
  <c r="CE108" i="103"/>
  <c r="CB108" i="103"/>
  <c r="CA108" i="103"/>
  <c r="BY108" i="103"/>
  <c r="BP108" i="103"/>
  <c r="BF108" i="103"/>
  <c r="BE108" i="103"/>
  <c r="BD108" i="103"/>
  <c r="BC108" i="103"/>
  <c r="AO108" i="103"/>
  <c r="Z108" i="103"/>
  <c r="W108" i="103"/>
  <c r="U108" i="103"/>
  <c r="T108" i="103"/>
  <c r="Q108" i="103"/>
  <c r="O108" i="103" s="1"/>
  <c r="M108" i="103"/>
  <c r="D108" i="103"/>
  <c r="EE107" i="103"/>
  <c r="EF107" i="103" s="1"/>
  <c r="DM107" i="103"/>
  <c r="DH107" i="103"/>
  <c r="DI107" i="103" s="1"/>
  <c r="DG107" i="103"/>
  <c r="DF107" i="103"/>
  <c r="DD107" i="103"/>
  <c r="CW107" i="103"/>
  <c r="CY107" i="103" s="1"/>
  <c r="CP107" i="103"/>
  <c r="CK107" i="103"/>
  <c r="CE107" i="103"/>
  <c r="CB107" i="103"/>
  <c r="CA107" i="103"/>
  <c r="BY107" i="103"/>
  <c r="BF107" i="103" s="1"/>
  <c r="BP107" i="103"/>
  <c r="BE107" i="103"/>
  <c r="AD107" i="103" s="1"/>
  <c r="BD107" i="103"/>
  <c r="BC107" i="103"/>
  <c r="AO107" i="103"/>
  <c r="Z107" i="103"/>
  <c r="W107" i="103"/>
  <c r="U107" i="103"/>
  <c r="T107" i="103"/>
  <c r="Q107" i="103"/>
  <c r="O107" i="103" s="1"/>
  <c r="M107" i="103"/>
  <c r="D107" i="103"/>
  <c r="AE108" i="103" l="1"/>
  <c r="CV108" i="103"/>
  <c r="BZ108" i="103" s="1"/>
  <c r="DL110" i="103"/>
  <c r="AE107" i="103"/>
  <c r="DB108" i="103"/>
  <c r="X110" i="103"/>
  <c r="CJ110" i="103" s="1"/>
  <c r="EM110" i="103"/>
  <c r="AR110" i="103"/>
  <c r="X107" i="103"/>
  <c r="CJ107" i="103" s="1"/>
  <c r="EM107" i="103"/>
  <c r="X109" i="103"/>
  <c r="CJ109" i="103" s="1"/>
  <c r="EM109" i="103"/>
  <c r="X111" i="103"/>
  <c r="CJ111" i="103" s="1"/>
  <c r="CC111" i="103" s="1"/>
  <c r="EM111" i="103"/>
  <c r="AR111" i="103"/>
  <c r="EM112" i="103"/>
  <c r="AE112" i="103"/>
  <c r="AR112" i="103" s="1"/>
  <c r="CD109" i="103"/>
  <c r="AA109" i="103"/>
  <c r="AE109" i="103"/>
  <c r="AR109" i="103" s="1"/>
  <c r="DI108" i="103"/>
  <c r="DL109" i="103"/>
  <c r="X112" i="103"/>
  <c r="CJ112" i="103" s="1"/>
  <c r="CC112" i="103" s="1"/>
  <c r="AR107" i="103"/>
  <c r="AP107" i="103"/>
  <c r="AC107" i="103"/>
  <c r="AQ107" i="103"/>
  <c r="CX107" i="103"/>
  <c r="CZ107" i="103" s="1"/>
  <c r="CV107" i="103"/>
  <c r="EM108" i="103"/>
  <c r="AD108" i="103"/>
  <c r="DA109" i="103"/>
  <c r="AQ110" i="103"/>
  <c r="CD110" i="103"/>
  <c r="CC110" i="103" s="1"/>
  <c r="AA110" i="103"/>
  <c r="DA110" i="103"/>
  <c r="BB107" i="103"/>
  <c r="DA107" i="103"/>
  <c r="DL107" i="103"/>
  <c r="X108" i="103"/>
  <c r="CJ108" i="103" s="1"/>
  <c r="EN108" i="103"/>
  <c r="AP109" i="103"/>
  <c r="AC109" i="103"/>
  <c r="AQ109" i="103"/>
  <c r="CY109" i="103"/>
  <c r="CX109" i="103"/>
  <c r="DB109" i="103" s="1"/>
  <c r="CV109" i="103"/>
  <c r="CY110" i="103"/>
  <c r="CX110" i="103"/>
  <c r="DB110" i="103" s="1"/>
  <c r="CV110" i="103"/>
  <c r="AQ111" i="103"/>
  <c r="CY111" i="103"/>
  <c r="CZ111" i="103" s="1"/>
  <c r="DA111" i="103"/>
  <c r="DL111" i="103"/>
  <c r="AQ112" i="103"/>
  <c r="CY112" i="103"/>
  <c r="CZ112" i="103" s="1"/>
  <c r="DA112" i="103"/>
  <c r="DL112" i="103"/>
  <c r="CY108" i="103"/>
  <c r="CZ108" i="103" s="1"/>
  <c r="AA111" i="103"/>
  <c r="CV111" i="103"/>
  <c r="AA112" i="103"/>
  <c r="CV112" i="103"/>
  <c r="CC109" i="103" l="1"/>
  <c r="DB107" i="103"/>
  <c r="EN112" i="103"/>
  <c r="BZ112" i="103"/>
  <c r="DC112" i="103"/>
  <c r="EN111" i="103"/>
  <c r="BZ111" i="103"/>
  <c r="DC111" i="103"/>
  <c r="EN110" i="103"/>
  <c r="BZ110" i="103"/>
  <c r="DC110" i="103"/>
  <c r="CZ110" i="103"/>
  <c r="EN109" i="103"/>
  <c r="BZ109" i="103"/>
  <c r="DC109" i="103"/>
  <c r="CZ109" i="103"/>
  <c r="CD107" i="103"/>
  <c r="CC107" i="103" s="1"/>
  <c r="AA107" i="103"/>
  <c r="BB108" i="103"/>
  <c r="AQ108" i="103"/>
  <c r="AR108" i="103"/>
  <c r="AC108" i="103"/>
  <c r="AP108" i="103"/>
  <c r="EN107" i="103"/>
  <c r="BZ107" i="103"/>
  <c r="DC107" i="103"/>
  <c r="CU109" i="103" l="1"/>
  <c r="CU110" i="103"/>
  <c r="CU112" i="103"/>
  <c r="CU107" i="103"/>
  <c r="CU111" i="103"/>
  <c r="CD108" i="103"/>
  <c r="CC108" i="103" s="1"/>
  <c r="DC108" i="103"/>
  <c r="CU108" i="103" s="1"/>
  <c r="AA108" i="103"/>
  <c r="D43" i="103" l="1"/>
  <c r="M43" i="103"/>
  <c r="Q43" i="103"/>
  <c r="O43" i="103" s="1"/>
  <c r="T43" i="103"/>
  <c r="U43" i="103"/>
  <c r="W43" i="103"/>
  <c r="Z43" i="103"/>
  <c r="AO43" i="103"/>
  <c r="BB43" i="103"/>
  <c r="BC43" i="103"/>
  <c r="BD43" i="103"/>
  <c r="BO43" i="103"/>
  <c r="BX43" i="103"/>
  <c r="BE43" i="103" s="1"/>
  <c r="BZ43" i="103"/>
  <c r="CA43" i="103"/>
  <c r="CD43" i="103"/>
  <c r="CJ43" i="103"/>
  <c r="CO43" i="103"/>
  <c r="CV43" i="103"/>
  <c r="CX43" i="103" s="1"/>
  <c r="DC43" i="103"/>
  <c r="DE43" i="103"/>
  <c r="CW43" i="103" s="1"/>
  <c r="DF43" i="103"/>
  <c r="DG43" i="103"/>
  <c r="DH43" i="103" s="1"/>
  <c r="DL43" i="103"/>
  <c r="EB43" i="103"/>
  <c r="EC43" i="103" s="1"/>
  <c r="CZ43" i="103" l="1"/>
  <c r="DK43" i="103"/>
  <c r="AE43" i="103"/>
  <c r="CU43" i="103"/>
  <c r="EK43" i="103" s="1"/>
  <c r="DA43" i="103"/>
  <c r="CY43" i="103"/>
  <c r="X43" i="103"/>
  <c r="CI43" i="103" s="1"/>
  <c r="EJ43" i="103"/>
  <c r="AD43" i="103"/>
  <c r="BY43" i="103" l="1"/>
  <c r="AC43" i="103"/>
  <c r="AP43" i="103"/>
  <c r="AR43" i="103"/>
  <c r="AQ43" i="103"/>
  <c r="BA43" i="103"/>
  <c r="CC43" i="103" l="1"/>
  <c r="CB43" i="103" s="1"/>
  <c r="AA43" i="103"/>
  <c r="DB43" i="103"/>
  <c r="CT43" i="103" s="1"/>
  <c r="B78" i="52" l="1"/>
  <c r="G127" i="52" l="1"/>
  <c r="H127" i="52" s="1"/>
  <c r="B127" i="52"/>
  <c r="G126" i="52"/>
  <c r="H126" i="52" s="1"/>
  <c r="B126" i="52"/>
  <c r="H125" i="52"/>
  <c r="G125" i="52"/>
  <c r="B125" i="52"/>
  <c r="G123" i="52"/>
  <c r="H123" i="52" s="1"/>
  <c r="B123" i="52"/>
  <c r="H122" i="52"/>
  <c r="G122" i="52"/>
  <c r="B122" i="52"/>
  <c r="G121" i="52"/>
  <c r="H121" i="52" s="1"/>
  <c r="B121" i="52"/>
  <c r="H120" i="52"/>
  <c r="G120" i="52"/>
  <c r="B120" i="52"/>
  <c r="G119" i="52"/>
  <c r="H119" i="52" s="1"/>
  <c r="B119" i="52"/>
  <c r="H118" i="52"/>
  <c r="G118" i="52"/>
  <c r="B118" i="52"/>
  <c r="G117" i="52"/>
  <c r="H117" i="52" s="1"/>
  <c r="B117" i="52"/>
  <c r="H116" i="52"/>
  <c r="G116" i="52"/>
  <c r="B116" i="52"/>
  <c r="B110" i="52"/>
  <c r="B109" i="52"/>
  <c r="B108" i="52"/>
  <c r="B107" i="52"/>
  <c r="B106" i="52"/>
  <c r="B105" i="52"/>
  <c r="B104" i="52"/>
  <c r="B103" i="52"/>
  <c r="B102" i="52"/>
  <c r="B101" i="52"/>
  <c r="B100" i="52"/>
  <c r="B99" i="52"/>
  <c r="B98" i="52"/>
  <c r="B97" i="52"/>
  <c r="B96" i="52"/>
  <c r="B95" i="52"/>
  <c r="B94" i="52"/>
  <c r="B93" i="52"/>
  <c r="B92" i="52"/>
  <c r="B91" i="52"/>
  <c r="B90" i="52"/>
  <c r="B89" i="52"/>
  <c r="B88" i="52"/>
  <c r="B87" i="52"/>
  <c r="B86" i="52"/>
  <c r="B85" i="52"/>
  <c r="B84" i="52"/>
  <c r="B83" i="52"/>
  <c r="B82" i="52"/>
  <c r="B81" i="52"/>
  <c r="B80" i="52"/>
  <c r="B79" i="52"/>
  <c r="B77" i="52"/>
  <c r="B76" i="52"/>
  <c r="B75" i="52"/>
  <c r="B74" i="52"/>
  <c r="B73" i="52"/>
  <c r="B72" i="52"/>
  <c r="B71" i="52"/>
  <c r="B70" i="52"/>
  <c r="B69" i="52"/>
  <c r="B68" i="52"/>
  <c r="B67" i="52"/>
  <c r="B66" i="52"/>
  <c r="B65" i="52"/>
  <c r="B64" i="52"/>
  <c r="B63" i="52"/>
  <c r="H60" i="52"/>
  <c r="G60" i="52"/>
  <c r="B60" i="52"/>
  <c r="G59" i="52"/>
  <c r="H59" i="52" s="1"/>
  <c r="B59" i="52"/>
  <c r="H58" i="52"/>
  <c r="G58" i="52"/>
  <c r="B58" i="52"/>
  <c r="G57" i="52"/>
  <c r="H57" i="52" s="1"/>
  <c r="B57" i="52"/>
  <c r="H56" i="52"/>
  <c r="G56" i="52"/>
  <c r="B56" i="52"/>
  <c r="G55" i="52"/>
  <c r="H55" i="52" s="1"/>
  <c r="B55" i="52"/>
  <c r="H54" i="52"/>
  <c r="G54" i="52"/>
  <c r="B54" i="52"/>
  <c r="G53" i="52"/>
  <c r="H53" i="52" s="1"/>
  <c r="B53" i="52"/>
  <c r="H52" i="52"/>
  <c r="G52" i="52"/>
  <c r="B52" i="52"/>
  <c r="G51" i="52"/>
  <c r="H51" i="52" s="1"/>
  <c r="B51" i="52"/>
  <c r="H50" i="52"/>
  <c r="G50" i="52"/>
  <c r="B50" i="52"/>
  <c r="G49" i="52"/>
  <c r="H49" i="52" s="1"/>
  <c r="B49" i="52"/>
  <c r="H48" i="52"/>
  <c r="G48" i="52"/>
  <c r="B48" i="52"/>
  <c r="G47" i="52"/>
  <c r="H47" i="52" s="1"/>
  <c r="B47" i="52"/>
  <c r="H46" i="52"/>
  <c r="G46" i="52"/>
  <c r="B46" i="52"/>
  <c r="G45" i="52"/>
  <c r="H45" i="52" s="1"/>
  <c r="B45" i="52"/>
  <c r="H44" i="52"/>
  <c r="G44" i="52"/>
  <c r="B44" i="52"/>
  <c r="G43" i="52"/>
  <c r="H43" i="52" s="1"/>
  <c r="B43" i="52"/>
  <c r="H42" i="52"/>
  <c r="G42" i="52"/>
  <c r="B42" i="52"/>
  <c r="G41" i="52"/>
  <c r="H41" i="52" s="1"/>
  <c r="B41" i="52"/>
  <c r="H40" i="52"/>
  <c r="G40" i="52"/>
  <c r="B40" i="52"/>
  <c r="G39" i="52"/>
  <c r="H39" i="52" s="1"/>
  <c r="B39" i="52"/>
  <c r="H38" i="52"/>
  <c r="G38" i="52"/>
  <c r="B38" i="52"/>
  <c r="G37" i="52"/>
  <c r="H37" i="52" s="1"/>
  <c r="B37" i="52"/>
  <c r="H36" i="52"/>
  <c r="G36" i="52"/>
  <c r="B36" i="52"/>
  <c r="G35" i="52"/>
  <c r="H35" i="52" s="1"/>
  <c r="B35" i="52"/>
  <c r="H34" i="52"/>
  <c r="G34" i="52"/>
  <c r="B34" i="52"/>
  <c r="G33" i="52"/>
  <c r="H33" i="52" s="1"/>
  <c r="B33" i="52"/>
  <c r="H32" i="52"/>
  <c r="G32" i="52"/>
  <c r="B32" i="52"/>
  <c r="G31" i="52"/>
  <c r="H31" i="52" s="1"/>
  <c r="B31" i="52"/>
  <c r="H30" i="52"/>
  <c r="G30" i="52"/>
  <c r="B30" i="52"/>
  <c r="G29" i="52"/>
  <c r="H29" i="52" s="1"/>
  <c r="B29" i="52"/>
  <c r="H28" i="52"/>
  <c r="G28" i="52"/>
  <c r="B28" i="52"/>
  <c r="G27" i="52"/>
  <c r="H27" i="52" s="1"/>
  <c r="B27" i="52"/>
  <c r="H26" i="52"/>
  <c r="G26" i="52"/>
  <c r="B26" i="52"/>
  <c r="G25" i="52"/>
  <c r="H25" i="52" s="1"/>
  <c r="B25" i="52"/>
  <c r="H24" i="52"/>
  <c r="G24" i="52"/>
  <c r="B24" i="52"/>
  <c r="G23" i="52"/>
  <c r="B23" i="52"/>
  <c r="H22" i="52"/>
  <c r="G22" i="52"/>
  <c r="B22" i="52"/>
  <c r="G21" i="52"/>
  <c r="H21" i="52" s="1"/>
  <c r="B21" i="52"/>
  <c r="H20" i="52"/>
  <c r="G20" i="52"/>
  <c r="B20" i="52"/>
  <c r="G19" i="52"/>
  <c r="H19" i="52" s="1"/>
  <c r="B19" i="52"/>
  <c r="H18" i="52"/>
  <c r="G18" i="52"/>
  <c r="B18" i="52"/>
  <c r="G17" i="52"/>
  <c r="B17" i="52"/>
  <c r="H16" i="52"/>
  <c r="G16" i="52"/>
  <c r="B16" i="52"/>
  <c r="G15" i="52"/>
  <c r="H15" i="52" s="1"/>
  <c r="B15" i="52"/>
  <c r="H14" i="52"/>
  <c r="G14" i="52"/>
  <c r="B14" i="52"/>
  <c r="G13" i="52"/>
  <c r="H13" i="52" s="1"/>
  <c r="B13" i="52"/>
  <c r="H12" i="52"/>
  <c r="G12" i="52"/>
  <c r="B12" i="52"/>
  <c r="M11" i="52"/>
  <c r="H11" i="52"/>
  <c r="G11" i="52"/>
  <c r="B11" i="52"/>
  <c r="M10" i="52"/>
  <c r="H10" i="52"/>
  <c r="G10" i="52"/>
  <c r="B10" i="52"/>
  <c r="G9" i="52"/>
  <c r="H9" i="52" s="1"/>
  <c r="B9" i="52"/>
  <c r="H8" i="52"/>
  <c r="G8" i="52"/>
  <c r="B8" i="52"/>
  <c r="G7" i="52"/>
  <c r="H7" i="52" s="1"/>
  <c r="B7" i="52"/>
  <c r="H6" i="52"/>
  <c r="G6" i="52"/>
  <c r="B6" i="52"/>
  <c r="G5" i="52"/>
  <c r="H5" i="52" s="1"/>
  <c r="B5" i="52"/>
  <c r="H4" i="52"/>
  <c r="G4" i="52"/>
  <c r="B4" i="52"/>
  <c r="G3" i="52"/>
  <c r="H3" i="52" s="1"/>
  <c r="B3" i="52"/>
  <c r="H2" i="52"/>
  <c r="G2" i="52"/>
  <c r="B2" i="52"/>
  <c r="H17" i="52" l="1"/>
  <c r="H23" i="52"/>
</calcChain>
</file>

<file path=xl/sharedStrings.xml><?xml version="1.0" encoding="utf-8"?>
<sst xmlns="http://schemas.openxmlformats.org/spreadsheetml/2006/main" count="6034" uniqueCount="675">
  <si>
    <t>1976</t>
  </si>
  <si>
    <t>Đinh Thị Minh Tuyết</t>
  </si>
  <si>
    <t>Biên tập viên</t>
  </si>
  <si>
    <t>Phòng Hành chính - Tổng hợp,</t>
  </si>
  <si>
    <t>Nguyễn Tấn Ninh</t>
  </si>
  <si>
    <t>Nguyễn Thị Thu Nga</t>
  </si>
  <si>
    <t>Đặng Thị Phương Thảo</t>
  </si>
  <si>
    <t>Phòng Tổ chức - Cán bộ,</t>
  </si>
  <si>
    <t>Nguyễn Thị Thu Hà</t>
  </si>
  <si>
    <t>Bộ môn Mác - Lê nin và Tư tưởng Hồ Chí Minh,</t>
  </si>
  <si>
    <t>Bộ môn Nhà nước và Pháp luật,</t>
  </si>
  <si>
    <t>Hoàng Hồng Nhung</t>
  </si>
  <si>
    <t>Phòng Đào tạo, Bồi dưỡng công chức - viên chức,</t>
  </si>
  <si>
    <t>1987</t>
  </si>
  <si>
    <t>1963</t>
  </si>
  <si>
    <t>Thư viện viên chính</t>
  </si>
  <si>
    <t>Phòng Giáo dục thể chất - Chính trị và Quản lý sinh viên,</t>
  </si>
  <si>
    <t>06</t>
  </si>
  <si>
    <t>Nguyễn Thị Thu Hương</t>
  </si>
  <si>
    <t>Nguyễn Tiến Dũng</t>
  </si>
  <si>
    <t>Vũ Phương Nam</t>
  </si>
  <si>
    <t>Lê Anh Tuấn</t>
  </si>
  <si>
    <t>1956</t>
  </si>
  <si>
    <t>Thanh tra viên</t>
  </si>
  <si>
    <t>Nguyễn Tiến Hiệp</t>
  </si>
  <si>
    <t>Đào Ngọc Thủy</t>
  </si>
  <si>
    <t>Tiếp HV:-2013</t>
  </si>
  <si>
    <t>Phạm Thị Thanh Hương</t>
  </si>
  <si>
    <t>1975</t>
  </si>
  <si>
    <t>Mai Vân Bình</t>
  </si>
  <si>
    <t xml:space="preserve">Bộ môn Lịch sử hành chính, </t>
  </si>
  <si>
    <t>Nguyễn Hữu Hải</t>
  </si>
  <si>
    <t>Nguyễn Thị Tế</t>
  </si>
  <si>
    <t>Phạm Ngọc Hà</t>
  </si>
  <si>
    <t>Trần Thị Ngọc Quyên</t>
  </si>
  <si>
    <t>Bộ môn Khoa học đại cương,</t>
  </si>
  <si>
    <t>Bộ môn Chính trị học,</t>
  </si>
  <si>
    <t>Nguyễn Thị Khuyên</t>
  </si>
  <si>
    <t xml:space="preserve">Nguyễn Thị Thu Hằng </t>
  </si>
  <si>
    <t>Vũ Thị Mỹ Hằng</t>
  </si>
  <si>
    <t>Giáo viên trung học cơ sở chính</t>
  </si>
  <si>
    <t>Nguyễn Thị Hường</t>
  </si>
  <si>
    <t>Nguyễn Thị Minh Nguyệt</t>
  </si>
  <si>
    <t>Bộ môn Dân số - Lao động - Bảo trợ xã hội,</t>
  </si>
  <si>
    <t>Vũ Thế Duy</t>
  </si>
  <si>
    <t>Vũ Thị Minh Ngọc</t>
  </si>
  <si>
    <t>Nguyễn Hoàng Quy</t>
  </si>
  <si>
    <t>Giáo viên trung học cơ sở</t>
  </si>
  <si>
    <t>Đặng Thị Hà</t>
  </si>
  <si>
    <t>Lê Quang Sự</t>
  </si>
  <si>
    <t>Bộ môn Chính sách tài chính quốc gia,</t>
  </si>
  <si>
    <t>Lê Thị Minh Phượng</t>
  </si>
  <si>
    <t>Nguyễn Ngọc Thao</t>
  </si>
  <si>
    <t>Nguyễn Thị Hồng Hải</t>
  </si>
  <si>
    <t>Bộ môn Văn bản hành chính,</t>
  </si>
  <si>
    <t>Nguyễn Thanh Giang</t>
  </si>
  <si>
    <t>Phạm Thị Ninh</t>
  </si>
  <si>
    <t>/-/ /-/</t>
  </si>
  <si>
    <t>Hà Xuân Nhung</t>
  </si>
  <si>
    <t>Chuyên viên (cao đẳng)</t>
  </si>
  <si>
    <t>Đoàn Bích Hồng</t>
  </si>
  <si>
    <t>Phóng viên chính</t>
  </si>
  <si>
    <t>Phóng viên cao cấp</t>
  </si>
  <si>
    <t>Phóng viên</t>
  </si>
  <si>
    <t>17.143</t>
  </si>
  <si>
    <t>17.142</t>
  </si>
  <si>
    <t>17.144</t>
  </si>
  <si>
    <t>Thư viện viên trung cấp</t>
  </si>
  <si>
    <t>Trần Cao Tùng</t>
  </si>
  <si>
    <t>Thủ kho bảo quản</t>
  </si>
  <si>
    <t>Nguyễn Đức Tùng</t>
  </si>
  <si>
    <t>Kế toán viên trung cấp</t>
  </si>
  <si>
    <t>Kế toán viên chính</t>
  </si>
  <si>
    <t>Bộ môn Tin học,</t>
  </si>
  <si>
    <t>Bộ môn Ngoại ngữ,</t>
  </si>
  <si>
    <t>Đặng Thị Thanh Tâm</t>
  </si>
  <si>
    <t>Phòng Nghiên cứu Thể chế và Thủ tục Hành chính,</t>
  </si>
  <si>
    <t>Huỳnh Văn Thới</t>
  </si>
  <si>
    <t>Khoa Đào tạo và Bồi dưỡng,</t>
  </si>
  <si>
    <t>Kế toán viên (cao đẳng)</t>
  </si>
  <si>
    <t>Dương Văn Ninh</t>
  </si>
  <si>
    <t>Trung tâm Ngoại ngữ - Tin học,</t>
  </si>
  <si>
    <t>Bộ môn Hành chính học,</t>
  </si>
  <si>
    <t>Nguyễn Thị Minh</t>
  </si>
  <si>
    <t>Trần Thị Vành Khuyên</t>
  </si>
  <si>
    <t>Bùi Thị Mai</t>
  </si>
  <si>
    <t>Bộ môn Quản lý nhà nước về Kinh tế,</t>
  </si>
  <si>
    <t>Nguyễn Chi Mai</t>
  </si>
  <si>
    <t>Bộ môn Quản lý Tài chính công,</t>
  </si>
  <si>
    <t>Trần Đức Tuấn</t>
  </si>
  <si>
    <t>Đặng Thị Mai Dung</t>
  </si>
  <si>
    <t>Nguyễn Thị Ngọc Linh</t>
  </si>
  <si>
    <t>Bộ môn Tổ chức và Quản lý nhân sự,</t>
  </si>
  <si>
    <t>Nguyễn Xuân Tiến</t>
  </si>
  <si>
    <t>Tạ Thị Thanh Tâm</t>
  </si>
  <si>
    <t>Tôn Nữ Minh Tâm</t>
  </si>
  <si>
    <t>Phạm Hữu Phước</t>
  </si>
  <si>
    <t>Nhân viên đánh máy</t>
  </si>
  <si>
    <t>Lưu trữ viên</t>
  </si>
  <si>
    <t>Q. Trưởng phòng</t>
  </si>
  <si>
    <t>Huỳnh Trần Diễm Phương</t>
  </si>
  <si>
    <t>Lê Thị Luyến</t>
  </si>
  <si>
    <t>Nguyễn Thị Lang</t>
  </si>
  <si>
    <t>Trần Thị Xuyên</t>
  </si>
  <si>
    <t>CVụ</t>
  </si>
  <si>
    <t>A1</t>
  </si>
  <si>
    <t>A3.1</t>
  </si>
  <si>
    <t>T1</t>
  </si>
  <si>
    <t>M1</t>
  </si>
  <si>
    <t>T2</t>
  </si>
  <si>
    <t>M2</t>
  </si>
  <si>
    <t>GT</t>
  </si>
  <si>
    <t>Lê Thị Thu Thủy</t>
  </si>
  <si>
    <t>Hồ Diệu Mai</t>
  </si>
  <si>
    <t>Bộ môn Quản lý ngân sách nhà nước,</t>
  </si>
  <si>
    <t>Bộ môn Kế toán - Kiểm toán,</t>
  </si>
  <si>
    <t>---</t>
  </si>
  <si>
    <t>Ban Đào tạo</t>
  </si>
  <si>
    <t>Ban Tổ chức - Cán bộ</t>
  </si>
  <si>
    <t>Bộ môn Ngoại ngữ</t>
  </si>
  <si>
    <t>Khoa Hành chính học</t>
  </si>
  <si>
    <t>Khoa Nhà nước và Pháp luật</t>
  </si>
  <si>
    <t>Khoa Quản lý nhà nước về Xã hội</t>
  </si>
  <si>
    <t>Khoa Quản lý nhà nước về Kinh tế</t>
  </si>
  <si>
    <t>Phòng Khảo thí và Kiểm định chất lượng giáo dục</t>
  </si>
  <si>
    <t>Viện Nghiên cứu Khoa học hành chính</t>
  </si>
  <si>
    <t>Khoa Quản lý Tài chính công</t>
  </si>
  <si>
    <t>Ban Hợp tác quốc tế</t>
  </si>
  <si>
    <t>Phòng Dự án,</t>
  </si>
  <si>
    <t>Khoa Tổ chức và Quản lý nhân sự</t>
  </si>
  <si>
    <t>Khoa Văn bản và Công nghệ hành chính</t>
  </si>
  <si>
    <t>Vương Thị Liên</t>
  </si>
  <si>
    <t>D</t>
  </si>
  <si>
    <t>NGẠCH</t>
  </si>
  <si>
    <t>MÃ SỐ NGẠCH</t>
  </si>
  <si>
    <t>GHI 
CHÚ</t>
  </si>
  <si>
    <t>Trung tâm Tư liệu và Thông tin khoa học hành chính,</t>
  </si>
  <si>
    <t>Khoa Quản lý nhà nước về Đô thị và Nông thôn</t>
  </si>
  <si>
    <t>Khoa Lý luận cơ sở</t>
  </si>
  <si>
    <t>Phòng Đào tạo, bồi dưỡng theo chức danh,</t>
  </si>
  <si>
    <t>Bộ môn Lý luận nhà nước và pháp luật,</t>
  </si>
  <si>
    <t>Bộ môn Thể chế nhà nước,</t>
  </si>
  <si>
    <t>Phạm Thị Thúy</t>
  </si>
  <si>
    <t>Ông</t>
  </si>
  <si>
    <t>Bà</t>
  </si>
  <si>
    <t>Đào Thị Loan</t>
  </si>
  <si>
    <t>5,42</t>
  </si>
  <si>
    <t>CL</t>
  </si>
  <si>
    <t>Phòng Quản lý khoa học,</t>
  </si>
  <si>
    <t>Khoa Đào tạo, Bồi dưỡng công chức và Tại chức</t>
  </si>
  <si>
    <t>Phân viện khu vực Tây Nguyên</t>
  </si>
  <si>
    <t xml:space="preserve">           </t>
  </si>
  <si>
    <t>Lê Hoàng Anh</t>
  </si>
  <si>
    <t>Phòng Tổ chức - Hành chính,</t>
  </si>
  <si>
    <t>Trần Diệu Liên</t>
  </si>
  <si>
    <t>15.110</t>
  </si>
  <si>
    <t>15.111</t>
  </si>
  <si>
    <t>Giáo viên trung học cao cấp</t>
  </si>
  <si>
    <t>15.112</t>
  </si>
  <si>
    <t>V</t>
  </si>
  <si>
    <t>15.113</t>
  </si>
  <si>
    <t>15a.201</t>
  </si>
  <si>
    <t>15a.202</t>
  </si>
  <si>
    <t>N</t>
  </si>
  <si>
    <t>H</t>
  </si>
  <si>
    <t>U</t>
  </si>
  <si>
    <t>Y</t>
  </si>
  <si>
    <t>01.001</t>
  </si>
  <si>
    <t>01.002</t>
  </si>
  <si>
    <t>01.003</t>
  </si>
  <si>
    <t>01a.003</t>
  </si>
  <si>
    <t>01.004</t>
  </si>
  <si>
    <t>Thanh tra viên cao cấp</t>
  </si>
  <si>
    <t>04.023</t>
  </si>
  <si>
    <t>Thanh tra viên chính</t>
  </si>
  <si>
    <t>04.024</t>
  </si>
  <si>
    <t>04.025</t>
  </si>
  <si>
    <t>17.169</t>
  </si>
  <si>
    <t>17.170</t>
  </si>
  <si>
    <t>17a.170</t>
  </si>
  <si>
    <t>17.171</t>
  </si>
  <si>
    <t>16.116</t>
  </si>
  <si>
    <t>16.118</t>
  </si>
  <si>
    <t>16.119</t>
  </si>
  <si>
    <t>Biên tập viên cao cấp</t>
  </si>
  <si>
    <t>17.139</t>
  </si>
  <si>
    <t>17.140</t>
  </si>
  <si>
    <t>17.141</t>
  </si>
  <si>
    <t>Kế toán viên cao cấp</t>
  </si>
  <si>
    <t>06.029</t>
  </si>
  <si>
    <t>06.030</t>
  </si>
  <si>
    <t>06.031</t>
  </si>
  <si>
    <t>06a.031</t>
  </si>
  <si>
    <t>06.032</t>
  </si>
  <si>
    <t>01.010</t>
  </si>
  <si>
    <t>02.014</t>
  </si>
  <si>
    <t>Lưu trữ viên (cao đẳng)</t>
  </si>
  <si>
    <t>02a.014</t>
  </si>
  <si>
    <t>Lưu trữ viên trung cấp</t>
  </si>
  <si>
    <t>02.015</t>
  </si>
  <si>
    <t>01.011</t>
  </si>
  <si>
    <t>01.005</t>
  </si>
  <si>
    <t>01.007</t>
  </si>
  <si>
    <t>01.009</t>
  </si>
  <si>
    <t>19.185</t>
  </si>
  <si>
    <t>Thủ quỹ</t>
  </si>
  <si>
    <t>06.035</t>
  </si>
  <si>
    <t>. .</t>
  </si>
  <si>
    <t>Đến 30</t>
  </si>
  <si>
    <t>TD</t>
  </si>
  <si>
    <t>E</t>
  </si>
  <si>
    <t>O</t>
  </si>
  <si>
    <t>@</t>
  </si>
  <si>
    <t>Phòng Hành chính quản trị,</t>
  </si>
  <si>
    <t>Từ mức</t>
  </si>
  <si>
    <t>Lên mức</t>
  </si>
  <si>
    <t>- - -</t>
  </si>
  <si>
    <t>31 - 45</t>
  </si>
  <si>
    <t>--</t>
  </si>
  <si>
    <t>Trên 45</t>
  </si>
  <si>
    <t>Thẩm tra viên</t>
  </si>
  <si>
    <t>03.230</t>
  </si>
  <si>
    <t>CỘNG HÒA XÃ HỘI CHỦ NGHĨA VIỆT NAM</t>
  </si>
  <si>
    <t>Độc lập - Tự do - Hạnh phúc</t>
  </si>
  <si>
    <t>nhà giáo</t>
  </si>
  <si>
    <t>ĐỦ ĐIỀU KIỆN 
NÂNG PCTN</t>
  </si>
  <si>
    <t>Kể từ</t>
  </si>
  <si>
    <t>Thời gian Ko đc tính</t>
  </si>
  <si>
    <t>Thời gian giữ mức Pc</t>
  </si>
  <si>
    <t>Ds đủ ĐK nâng PC</t>
  </si>
  <si>
    <t xml:space="preserve"> </t>
  </si>
  <si>
    <t>NN</t>
  </si>
  <si>
    <t>MÃ SỐ</t>
  </si>
  <si>
    <t>BƯỚC</t>
  </si>
  <si>
    <t>LOẠI</t>
  </si>
  <si>
    <t>NHÓM</t>
  </si>
  <si>
    <t>Hưởng từ: khi về HV</t>
  </si>
  <si>
    <t>Đã nâng sớm</t>
  </si>
  <si>
    <t>Viện Trưởng</t>
  </si>
  <si>
    <t>Nguyễn Thị Thu Hà 88</t>
  </si>
  <si>
    <t>Khoa Lý luận cơ sở và Quản lý nhà nước,</t>
  </si>
  <si>
    <t>Giám đốc Học viện</t>
  </si>
  <si>
    <t>Phó Giám đốc Học viện</t>
  </si>
  <si>
    <t>Nguyên Trưởng khoa</t>
  </si>
  <si>
    <t>Phó Trưởng khoa</t>
  </si>
  <si>
    <t>Trưởng ban</t>
  </si>
  <si>
    <t>Trưởng khoa</t>
  </si>
  <si>
    <t>Nguyên Trưởng ban</t>
  </si>
  <si>
    <t>Phó Trưởng ban</t>
  </si>
  <si>
    <t>Trưởng phòng</t>
  </si>
  <si>
    <t>Phó Trưởng phòng</t>
  </si>
  <si>
    <t>CHỨC VỤ</t>
  </si>
  <si>
    <t>PC CV</t>
  </si>
  <si>
    <t>0,6</t>
  </si>
  <si>
    <t>0,4</t>
  </si>
  <si>
    <t>Trưởng bộ môn</t>
  </si>
  <si>
    <t>Phó Trưởng bộ môn</t>
  </si>
  <si>
    <t>Giám đốc phân viện</t>
  </si>
  <si>
    <t>Tổng Biên tập</t>
  </si>
  <si>
    <t>Phó Tổng biên tập</t>
  </si>
  <si>
    <t>Nguyên Viện Trưởng</t>
  </si>
  <si>
    <t>Nguyên Phó Giám đốc Học viện</t>
  </si>
  <si>
    <t>Phòng Tổ chức - Cán bộ ??????,</t>
  </si>
  <si>
    <t>A3</t>
  </si>
  <si>
    <t>HS bậc 1</t>
  </si>
  <si>
    <t>Nguyễn Huy Hoàng</t>
  </si>
  <si>
    <t>Nguyễn Huy Hoàng 75</t>
  </si>
  <si>
    <t>Bộ môn Khoa học hành chính,</t>
  </si>
  <si>
    <t>CN</t>
  </si>
  <si>
    <t>=&gt; s</t>
  </si>
  <si>
    <t>Cùg Ng</t>
  </si>
  <si>
    <t>Xếp Lg</t>
  </si>
  <si>
    <t>Nguyễn Thị Thu Hà 80</t>
  </si>
  <si>
    <t>16</t>
  </si>
  <si>
    <t>18</t>
  </si>
  <si>
    <t>22</t>
  </si>
  <si>
    <t>26</t>
  </si>
  <si>
    <t>24</t>
  </si>
  <si>
    <t>17</t>
  </si>
  <si>
    <t>20</t>
  </si>
  <si>
    <t>21</t>
  </si>
  <si>
    <t>23</t>
  </si>
  <si>
    <t>25</t>
  </si>
  <si>
    <t>28</t>
  </si>
  <si>
    <t>29</t>
  </si>
  <si>
    <t>27</t>
  </si>
  <si>
    <t>30</t>
  </si>
  <si>
    <t>31</t>
  </si>
  <si>
    <t>04</t>
  </si>
  <si>
    <t>Tăng Thị Loan</t>
  </si>
  <si>
    <t>Mai Danh Quyết</t>
  </si>
  <si>
    <t>Trần Vũ Hoàng Vi</t>
  </si>
  <si>
    <t>Trần Mạnh Hùng</t>
  </si>
  <si>
    <t>Lê Văn Khải</t>
  </si>
  <si>
    <t>Biên tập viên chính</t>
  </si>
  <si>
    <t>Mai Đình Lâm</t>
  </si>
  <si>
    <t>Phạm Thị Quỳnh Nga</t>
  </si>
  <si>
    <t>Vũ Tất Đạt</t>
  </si>
  <si>
    <t>Phan Ánh Hè</t>
  </si>
  <si>
    <t>SỐ
TT</t>
  </si>
  <si>
    <t>C</t>
  </si>
  <si>
    <t>Nhân viên</t>
  </si>
  <si>
    <t>A2</t>
  </si>
  <si>
    <t>A2.1</t>
  </si>
  <si>
    <t>S</t>
  </si>
  <si>
    <t>- -</t>
  </si>
  <si>
    <t>B</t>
  </si>
  <si>
    <t>Hà Mai Anh</t>
  </si>
  <si>
    <t>(Đã ký)</t>
  </si>
  <si>
    <t>1980</t>
  </si>
  <si>
    <t>PGS</t>
  </si>
  <si>
    <t>1977</t>
  </si>
  <si>
    <t>1982</t>
  </si>
  <si>
    <t>Giáo viên trung học</t>
  </si>
  <si>
    <t>1959</t>
  </si>
  <si>
    <t>Tổng số:</t>
  </si>
  <si>
    <t>người</t>
  </si>
  <si>
    <t>Bộ môn Kỹ thuật hành chính,</t>
  </si>
  <si>
    <t xml:space="preserve">Bộ môn Văn bản hành chính, </t>
  </si>
  <si>
    <t>Phòng Đào tạo,</t>
  </si>
  <si>
    <t>1970</t>
  </si>
  <si>
    <t>1973</t>
  </si>
  <si>
    <t>1965</t>
  </si>
  <si>
    <t>1969</t>
  </si>
  <si>
    <t>1964</t>
  </si>
  <si>
    <t xml:space="preserve">PGS </t>
  </si>
  <si>
    <t>08</t>
  </si>
  <si>
    <t>07</t>
  </si>
  <si>
    <t>03</t>
  </si>
  <si>
    <t>1954</t>
  </si>
  <si>
    <t>Ko hạn</t>
  </si>
  <si>
    <t>1960</t>
  </si>
  <si>
    <t>09</t>
  </si>
  <si>
    <t>%</t>
  </si>
  <si>
    <t>1983</t>
  </si>
  <si>
    <t>Nguyễn Thị Thanh Hoa</t>
  </si>
  <si>
    <t>Bộ môn Văn bản và Công nghệ hành chính,</t>
  </si>
  <si>
    <t>Phòng Nhân sự và Quản lý hồ sơ,</t>
  </si>
  <si>
    <t>1971</t>
  </si>
  <si>
    <t>1978</t>
  </si>
  <si>
    <t>Chuyên viên</t>
  </si>
  <si>
    <t>Kế toán viên</t>
  </si>
  <si>
    <t>01</t>
  </si>
  <si>
    <t>02</t>
  </si>
  <si>
    <t>5</t>
  </si>
  <si>
    <t>6</t>
  </si>
  <si>
    <t>8</t>
  </si>
  <si>
    <t>3</t>
  </si>
  <si>
    <t>7</t>
  </si>
  <si>
    <t>9</t>
  </si>
  <si>
    <t>12</t>
  </si>
  <si>
    <t>15</t>
  </si>
  <si>
    <t>Chuyên viên chính</t>
  </si>
  <si>
    <t>Giảng viên chính</t>
  </si>
  <si>
    <t>Chuyên viên cao cấp</t>
  </si>
  <si>
    <t>Lái xe cơ quan</t>
  </si>
  <si>
    <t>Nhân viên phục vụ</t>
  </si>
  <si>
    <t>Nhân viên bảo vệ</t>
  </si>
  <si>
    <t>Nhân viên kỹ thuật</t>
  </si>
  <si>
    <t>Cán sự</t>
  </si>
  <si>
    <t>/</t>
  </si>
  <si>
    <t>Ngạch</t>
  </si>
  <si>
    <t>A</t>
  </si>
  <si>
    <t>Trung tâm Tin học hành chính và Công nghệ thông tin</t>
  </si>
  <si>
    <t>2011</t>
  </si>
  <si>
    <t>2010</t>
  </si>
  <si>
    <t>Phòng Đào tạo tại chức,</t>
  </si>
  <si>
    <t>Bộ môn Tâm lý học,</t>
  </si>
  <si>
    <t>Văn phòng,</t>
  </si>
  <si>
    <t>Phòng Tài vụ - Kế toán,</t>
  </si>
  <si>
    <t>Phòng Quản trị,</t>
  </si>
  <si>
    <t>Thư viện viên</t>
  </si>
  <si>
    <t>10</t>
  </si>
  <si>
    <t>11</t>
  </si>
  <si>
    <t>13</t>
  </si>
  <si>
    <t>14</t>
  </si>
  <si>
    <t>1</t>
  </si>
  <si>
    <t>4</t>
  </si>
  <si>
    <t>2012</t>
  </si>
  <si>
    <t>Nam</t>
  </si>
  <si>
    <t>2009</t>
  </si>
  <si>
    <t>Nữ</t>
  </si>
  <si>
    <t>Bộ môn Quản lý nhà nước về Xã hội,</t>
  </si>
  <si>
    <t>19</t>
  </si>
  <si>
    <t>Thư viện viên (cao đẳng)</t>
  </si>
  <si>
    <t>Bộ môn Khoa học - Tôn giáo - An ninh,</t>
  </si>
  <si>
    <t>Bộ môn Những nguyên lý cơ bản của Chủ nghĩa Mác - Lê nin,</t>
  </si>
  <si>
    <t>Nguyễn Hòa Hiệp</t>
  </si>
  <si>
    <t>T</t>
  </si>
  <si>
    <t>TT</t>
  </si>
  <si>
    <t>Ngày sinh</t>
  </si>
  <si>
    <t>Giám đốc (cấp vụ)</t>
  </si>
  <si>
    <t>Phó Giám đốc (cấp vụ)</t>
  </si>
  <si>
    <t>Giám đốc (cấp phòng)</t>
  </si>
  <si>
    <t>Phó Giám đốc (cấp phòng)</t>
  </si>
  <si>
    <t>Phó Trưởng phòng (PT)</t>
  </si>
  <si>
    <t>Phó Trưởng ban (PT)</t>
  </si>
  <si>
    <t>Bùi Minh Lựa</t>
  </si>
  <si>
    <t>Tháng</t>
  </si>
  <si>
    <t>GHI CHÚ</t>
  </si>
  <si>
    <t>Nguyễn Ngọc Đào</t>
  </si>
  <si>
    <t>05</t>
  </si>
  <si>
    <t>Nam trên 55</t>
  </si>
  <si>
    <t>Nam từ 35 - 45</t>
  </si>
  <si>
    <t>Nữ từ 30 - 40</t>
  </si>
  <si>
    <t>Nam dưới 35</t>
  </si>
  <si>
    <t>Nữ trên 40 - 50</t>
  </si>
  <si>
    <t>Nữ dưới 30</t>
  </si>
  <si>
    <t>Nữ trên 50</t>
  </si>
  <si>
    <t>Trùng tên</t>
  </si>
  <si>
    <t>Lương</t>
  </si>
  <si>
    <t>PCTN</t>
  </si>
  <si>
    <t>o-o-o</t>
  </si>
  <si>
    <t>Sửa</t>
  </si>
  <si>
    <t>HỌC VIỆN HÀNH CHÍNH QUỐC GIA</t>
  </si>
  <si>
    <t xml:space="preserve"> HỌC VIỆN HÀNH CHÍNH QUỐC GIA</t>
  </si>
  <si>
    <t>Cơ sở Học viện Hành chính Quốc gia tại Thành phố Hồ Chí Minh</t>
  </si>
  <si>
    <t>Cơ sở Học viện Hành chính Quốc gia khu vực miền Trung</t>
  </si>
  <si>
    <t>Nâng 10/2014</t>
  </si>
  <si>
    <t>Văn phòng Học viện</t>
  </si>
  <si>
    <t>Nhân viên văn thư</t>
  </si>
  <si>
    <t>Kỹ Thuật viên đánh máy</t>
  </si>
  <si>
    <t>01.008</t>
  </si>
  <si>
    <t>01.006</t>
  </si>
  <si>
    <t>Chức danh nghề nghiệp</t>
  </si>
  <si>
    <t>Ngạch</t>
  </si>
  <si>
    <t>V.07.01.03</t>
  </si>
  <si>
    <t>V.07.01.01</t>
  </si>
  <si>
    <t>V.07.01.02</t>
  </si>
  <si>
    <t>Giảng viên cao cấp (hạng I)</t>
  </si>
  <si>
    <t>Giảng viên (hạng III)</t>
  </si>
  <si>
    <t>Giảng viên chính (hạng II)</t>
  </si>
  <si>
    <t>Ma so</t>
  </si>
  <si>
    <t>ĐỦ ĐIỀU KIỆN, TIÊU CHUẨN NÂNG LƯƠNG</t>
  </si>
  <si>
    <t>người lao động</t>
  </si>
  <si>
    <t>Xếp lại PC 12/2014</t>
  </si>
  <si>
    <t>Hoàng Lê Hoài Bắc</t>
  </si>
  <si>
    <t>Nghiên cứu viên cao cấp (hạng I)</t>
  </si>
  <si>
    <t>V.05.01.01</t>
  </si>
  <si>
    <t>Nghiên cứu viên chính (hạng II)</t>
  </si>
  <si>
    <t>V.05.01.02</t>
  </si>
  <si>
    <t>Nghiên cứu viên (hạng III)</t>
  </si>
  <si>
    <t>V.05.01.03</t>
  </si>
  <si>
    <t>Kỹ sư cao cấp (hạng I)</t>
  </si>
  <si>
    <t>V.05.02.05</t>
  </si>
  <si>
    <t>Kỹ sư chính (hạng II)</t>
  </si>
  <si>
    <t>V.05.02.06</t>
  </si>
  <si>
    <t>Kỹ sư (hạng III)</t>
  </si>
  <si>
    <t>V.05.02.07</t>
  </si>
  <si>
    <t>Kỹ thuật viên (hạng IV)</t>
  </si>
  <si>
    <t>V.05.02.08</t>
  </si>
  <si>
    <t xml:space="preserve"> CC, VC và NLĐ</t>
  </si>
  <si>
    <t>viên chức</t>
  </si>
  <si>
    <t>Nguyên Phó Trưởng khoa</t>
  </si>
  <si>
    <t>Nguyễn Thị Thùy Mai</t>
  </si>
  <si>
    <t>CC-VC-NLĐ</t>
  </si>
  <si>
    <t>CHÈN ĐIỀU CUỐI QĐ</t>
  </si>
  <si>
    <t>VC</t>
  </si>
  <si>
    <t>Q. Trưởng khoa</t>
  </si>
  <si>
    <t>Phó Chánh Văn phòng</t>
  </si>
  <si>
    <t>Hệ số</t>
  </si>
  <si>
    <t>Bộ môn Quản lý nhà nước về Đô thị</t>
  </si>
  <si>
    <t>Bộ môn Quản lý nhà nước về nông thôn</t>
  </si>
  <si>
    <t>Kiểm tra viên</t>
  </si>
  <si>
    <t>04,025A</t>
  </si>
  <si>
    <t>Nguyên Trưởng bộ môn</t>
  </si>
  <si>
    <t>Bộ môn Khoa học chính trị,</t>
  </si>
  <si>
    <t xml:space="preserve">Giảng viên </t>
  </si>
  <si>
    <t>Phòng Tư vấn và Thông tin hành chính</t>
  </si>
  <si>
    <t>Đinh Thị Nga</t>
  </si>
  <si>
    <t>Đào Xuân Thái</t>
  </si>
  <si>
    <t>Hà Thành Đê</t>
  </si>
  <si>
    <t>Hà Thị Thanh Chung</t>
  </si>
  <si>
    <t>Đàm Bích Hiên</t>
  </si>
  <si>
    <t>Nguyên Q. Trưởng khoa</t>
  </si>
  <si>
    <t>Chánh Văn phòng</t>
  </si>
  <si>
    <t>Nguyên Phó Trưởng ban</t>
  </si>
  <si>
    <t>Phó Viện trưởng</t>
  </si>
  <si>
    <t>Nguyên Phó Viện trưởng</t>
  </si>
  <si>
    <t>Chánh Văn phòng (cấp phòng)</t>
  </si>
  <si>
    <t>Trưởng khoa (cấp phòng)</t>
  </si>
  <si>
    <t>Trưởng ban (cấp phòng)</t>
  </si>
  <si>
    <t>Chủ nhiệm (cấp phòng)</t>
  </si>
  <si>
    <t>Đội Trưởng (cấp phòng)</t>
  </si>
  <si>
    <t>Nguyên Phó Trưởng bộ môn</t>
  </si>
  <si>
    <t>Phó Trưởng ban (cấp phòng)</t>
  </si>
  <si>
    <t>Phó Chủ nhiệm (cấp phòng)</t>
  </si>
  <si>
    <t>Phó Chánh Văn phòng (cấp phòng)</t>
  </si>
  <si>
    <t>Đội Phó (cấp phòng)</t>
  </si>
  <si>
    <t>Bậc</t>
  </si>
  <si>
    <t>Mức</t>
  </si>
  <si>
    <t>Y sĩ</t>
  </si>
  <si>
    <t>Bác sĩ</t>
  </si>
  <si>
    <t>Bác sĩ chính</t>
  </si>
  <si>
    <t>Bác sĩ cao cấp</t>
  </si>
  <si>
    <t xml:space="preserve">NGẠCH/ </t>
  </si>
  <si>
    <t>CHỨC DANH NGHỀ NGHIỆP</t>
  </si>
  <si>
    <t>VÀ MÃ SỐ</t>
  </si>
  <si>
    <t>Dieu 2</t>
  </si>
  <si>
    <t>CC, VC, NLĐ</t>
  </si>
  <si>
    <t>yy2</t>
  </si>
  <si>
    <t>mm2</t>
  </si>
  <si>
    <t>yy1</t>
  </si>
  <si>
    <t>mm1</t>
  </si>
  <si>
    <t>Hso 1</t>
  </si>
  <si>
    <t>Ngạch / CDNN</t>
  </si>
  <si>
    <t>Ten CDNN</t>
  </si>
  <si>
    <t>DV2</t>
  </si>
  <si>
    <t>DV1</t>
  </si>
  <si>
    <t>Ten</t>
  </si>
  <si>
    <t>Gtinh</t>
  </si>
  <si>
    <t>VK1</t>
  </si>
  <si>
    <t>Hso 2
-VK2</t>
  </si>
  <si>
    <t>Bác sĩ cao cấp (hạng I)</t>
  </si>
  <si>
    <t>V.08.01.01</t>
  </si>
  <si>
    <t>Bác sĩ chính (hạng II)</t>
  </si>
  <si>
    <t>V.08.01.02</t>
  </si>
  <si>
    <t>V.08.01.03</t>
  </si>
  <si>
    <t>Bác sĩ (hạng III)</t>
  </si>
  <si>
    <t>Y sĩ (hạng IV)</t>
  </si>
  <si>
    <t>Biên tập viên hạng I</t>
  </si>
  <si>
    <t>Biên tập viên hạng II</t>
  </si>
  <si>
    <t>Biên tập viên hạng III</t>
  </si>
  <si>
    <t>Phóng viên hạng I</t>
  </si>
  <si>
    <t>Phóng viên hạng II</t>
  </si>
  <si>
    <t>Phóng viên hạng III</t>
  </si>
  <si>
    <t>Thư viện viên hạng II</t>
  </si>
  <si>
    <t>Thư viện viên hạng III</t>
  </si>
  <si>
    <t>V.10.02.05</t>
  </si>
  <si>
    <t>V.10.02.06</t>
  </si>
  <si>
    <t>Thư viện viên hạng IV</t>
  </si>
  <si>
    <t>V.10.02.07</t>
  </si>
  <si>
    <t>vào đâu????</t>
  </si>
  <si>
    <t>ĐỀ NGHỊ XÉT NÂNG BẬC LƯƠNG THƯỜNG XUYÊN</t>
  </si>
  <si>
    <t>ĐỀ NGHỊ XÉT HƯỞNG PHỤ CẤP THÂM NIÊN VƯỢT KHUNG</t>
  </si>
  <si>
    <t>Mức
PC
TNVK</t>
  </si>
  <si>
    <t>Số tháng</t>
  </si>
  <si>
    <t>Số
TT</t>
  </si>
  <si>
    <t>Họ tên</t>
  </si>
  <si>
    <t>Giới tính</t>
  </si>
  <si>
    <t>Đơn vị</t>
  </si>
  <si>
    <t>Kể từ ngày 01 tháng</t>
  </si>
  <si>
    <t>PCTN 
hiện hưởng</t>
  </si>
  <si>
    <t>Thời gian kéo dài/ không tính vào thời gian xét nâng lương</t>
  </si>
  <si>
    <t>Thời gian không tính vào thời gian tính hưởng PCTN</t>
  </si>
  <si>
    <t>PCTN xét nâng</t>
  </si>
  <si>
    <t>Lương/ PCTNVK
hiện hưởng</t>
  </si>
  <si>
    <t>Hệ số lương/ PCTNVK</t>
  </si>
  <si>
    <t>Lý do kéo dài/ không tính</t>
  </si>
  <si>
    <t>Lý do không tính</t>
  </si>
  <si>
    <t>Lương/ PCTNVK
xét nâng, hưởng</t>
  </si>
  <si>
    <t>Ngạch/CDNN
 và mã số</t>
  </si>
  <si>
    <t>Chức danh nghề nghiệp
 và mã số</t>
  </si>
  <si>
    <t>Khoa Nhà nước - Pháp luật và Lý luận cơ sở</t>
  </si>
  <si>
    <t>Ban Quản lý bồi dưỡng</t>
  </si>
  <si>
    <t>Khoa Khoa học hành chính và Tổ chức nhân sự</t>
  </si>
  <si>
    <t>Khoa Quản lý nhà nước về Kinh tế và Tài chính công</t>
  </si>
  <si>
    <t>Phân viện Học viện Hành chính Quốc gia tại Thành phố Hồ Chí Minh</t>
  </si>
  <si>
    <t>Ban Kế hoạch - Tài chính</t>
  </si>
  <si>
    <t>Trung tâm Ngoại ngữ - Tin học và Thông tin - Thư viện</t>
  </si>
  <si>
    <t>Phân viện Học viện Hành chính Quốc gia tại thành phố Huế</t>
  </si>
  <si>
    <t>Phân viện Học viện Hành chính Quốc gia khu vực Tây Nguyên</t>
  </si>
  <si>
    <t>Ban Tổ chức cán bộ</t>
  </si>
  <si>
    <t>Bộ môn Khoa học hành chính và Tổ chức nhân sự</t>
  </si>
  <si>
    <t>Phòng Ngoại ngữ - Tin học và Thông tin - Thư viện</t>
  </si>
  <si>
    <t>Phòng Dự án và liên kết đào tạo quốc tế,</t>
  </si>
  <si>
    <t>BAN TỔ CHỨC CÁN BỘ</t>
  </si>
  <si>
    <t>Phó Giám đốc Phân viện</t>
  </si>
  <si>
    <t>Lê Thị Thu Phượng</t>
  </si>
  <si>
    <t>Bộ môn Quản lý nhà nước về Khoa học-Tôn giáo-Anh ninh</t>
  </si>
  <si>
    <t>Bộ môn Quản lý nhà nước về Kinh tế và Tài chính công</t>
  </si>
  <si>
    <t>Phòng  Đào tạo bồi dưỡng và Tư vấn hành chính</t>
  </si>
  <si>
    <t>NLĐ</t>
  </si>
  <si>
    <t>K.Dài</t>
  </si>
  <si>
    <t>Chánh Văn phòng Học viện, Trưởng Ban Tổ chức - Cán bộ, Trưởng Khoa Khoa học hành chính và Tổ chức nhân sự</t>
  </si>
  <si>
    <t>Chánh Văn phòng Học viện, Trưởng Ban Tổ chức - Cán bộ, Viện Trưởng Viện Nghiên cứu Khoa học hành chính</t>
  </si>
  <si>
    <t>Chánh Văn phòng Học viện, Trưởng Ban Tổ chức - Cán bộ, Trưởng Phân viện Học viện Hành chính Quốc gia khu vực Tây Nguyên</t>
  </si>
  <si>
    <t>Chánh Văn phòng Học viện, Trưởng Ban Tổ chức - Cán bộ, Trưởng Phân viện Học viện Hành chính Quốc gia tại Thành phố Hồ Chí Minh</t>
  </si>
  <si>
    <t>Bộ môn Quản lý nhà nước về xã hội</t>
  </si>
  <si>
    <t>Chánh Văn phòng Học viện, Trưởng Ban Tổ chức - Cán bộ, Trưởng Khoa Quản lý nhà nước về Kinh tế và Tài chính công</t>
  </si>
  <si>
    <t>(TX 1/4/16, nâng trước hạn 6 T năm 18)</t>
  </si>
  <si>
    <t>TX 1/6/16, nâng trước 9 T năm 18</t>
  </si>
  <si>
    <t>Chánh Văn phòng Học viện, Trưởng Ban Tổ chức - Cán bộ, Trưởng Khoa Nhà nước - Pháp luật và Lý luận cơ sở</t>
  </si>
  <si>
    <t>Chánh Văn phòng Học viện, Trưởng Ban Tổ chức - Cán bộ, Trưởng Phân viện Học viện Hành chính Quốc gia tại thành phố Huế</t>
  </si>
  <si>
    <t>Nghỉ ko lương</t>
  </si>
  <si>
    <t>Nghi ko luong từ 5/6 - 16/6/19</t>
  </si>
  <si>
    <t>Bộ môn Hành chính điện tử,</t>
  </si>
  <si>
    <t>Bộ môn hành chính điện tử,</t>
  </si>
  <si>
    <t>Phó Trưởng Bộ môn</t>
  </si>
  <si>
    <t>Phòng Khảo thí và Đảm bảo chất lượng đào tạo, bồi dưỡng,</t>
  </si>
  <si>
    <t>hưởng %TNNG, 25% (Ngày QĐ tháng 5/19)</t>
  </si>
  <si>
    <t>TX 1/3/16, nâng trước hạn 12 T năm 18, nghỉ ko lương 27-30/6/19 (29, 30 thứ 7, cn)</t>
  </si>
  <si>
    <t>tiếp nhận từ  8/2018; nghỉ ko hưởng lương từ 6/9-16/9/19: 7 ngày</t>
  </si>
  <si>
    <t>Chánh Văn phòng Học viện, Trưởng Ban Tổ chức - Cán bộ, Trưởng Khoa Văn bản và Công nghệ hành chính</t>
  </si>
  <si>
    <t>Bộ môn kiến thức đại cương (GDTC)</t>
  </si>
  <si>
    <t>Chức danh nghề nghiệp</t>
  </si>
  <si>
    <t>k lương từ 01/11/2018-31/01/2019 và 13/1-29-1/2020</t>
  </si>
  <si>
    <t>Nâng lg trước hạn 06 tháng</t>
  </si>
  <si>
    <r>
      <t xml:space="preserve">DANH SÁCH NHÀ GIÁO THUỘC HỌC VIỆN HÀNH CHÍNH 
CẦN ĐƯỢC GIẢI QUYẾT NÂNG PHỤ CẤP THÂM NIÊN TRONG THẤNG </t>
    </r>
    <r>
      <rPr>
        <b/>
        <sz val="10"/>
        <color indexed="12"/>
        <rFont val="Times New Roman"/>
        <family val="1"/>
      </rPr>
      <t xml:space="preserve">10 NĂM 2013
</t>
    </r>
    <r>
      <rPr>
        <i/>
        <sz val="10"/>
        <color indexed="12"/>
        <rFont val="Times New Roman"/>
        <family val="1"/>
      </rPr>
      <t>(Kèm theo Tờ  trình số 40/TTr-TCCB(P2) ngày  21 tháng 10 năm 2013 của Ban Tổ chức - Cán bộ)</t>
    </r>
  </si>
  <si>
    <t>Hưu</t>
  </si>
  <si>
    <t>Phạm Thị Hồng Thắm (Quyền T)</t>
  </si>
  <si>
    <t>TX 1/12/16, nâng trước 9 T năm 18. QĐ bổ nhiệm chức danh số 108 ngày 27/02/2020 từ 1/2/20</t>
  </si>
  <si>
    <t>Nghỉ ko lg từ 24/1-31/1/2020: 2 ngày - nghỉ tết cuoi tuan</t>
  </si>
  <si>
    <t>Phạm Thị Hồng Thắm</t>
  </si>
  <si>
    <t>Chánh Văn phòng Học viện, Trưởng Ban Tổ chức - Cán bộ, Trưởng Khoa Quản lý nhà nước về Xã hội</t>
  </si>
  <si>
    <t>đi học nước ngoài (01/9/2014 - 01/9/2018);(nghỉ chỗ C Hạnh 1-15/12/18); nghỉ ko lương từ 16/12/18 - 14/01/19; tiếp nhận từ ngày 15/01/2019 (tổng nghỉ 1 tháng 10 ngày tính tròn 1 tháng)</t>
  </si>
  <si>
    <t>Đi học nước ngoài, tiếp tục hưởng 25% từ 1/3/19</t>
  </si>
  <si>
    <t>Nguyễn Thị Lý (68)</t>
  </si>
  <si>
    <t>Ngô Văn Trân (Nguyên PGĐ PV)</t>
  </si>
  <si>
    <t>Nguyễn Đình Quý</t>
  </si>
  <si>
    <t>Phòng Nghiên cứu khoa học và Hợp tác quốc tế,</t>
  </si>
  <si>
    <t>hưởng 0,1 phụ cấp độc hại và bồi dưỡng bằng hiện vật từ 1/9/20</t>
  </si>
  <si>
    <t>tdung 1/10/20</t>
  </si>
  <si>
    <t>tdung 1/10/20 (tập sự 2,34 x 100%</t>
  </si>
  <si>
    <t>Vũ Duy Duẩn</t>
  </si>
  <si>
    <t>trường hợp</t>
  </si>
  <si>
    <t>hưởng PCTN từ 1/10/20</t>
  </si>
  <si>
    <t>BIỂU 1 - TB</t>
  </si>
  <si>
    <t>Tdung 1/11/20</t>
  </si>
  <si>
    <t>Vị trí Quản lý bồi dưỡng</t>
  </si>
  <si>
    <t>Vị trí Kế toán, Phòng Tài vụ - Kế toán,</t>
  </si>
  <si>
    <t>Vị trí giảng dạy, Bộ môn Khoa học hành chính và Tổ chức nhân sự</t>
  </si>
  <si>
    <t>Vị trí Quản lý đào tạo,</t>
  </si>
  <si>
    <t>Vị trí quản lý đào tạo,</t>
  </si>
  <si>
    <t>Tdung 1/11/20 HĐ từ 4/2015</t>
  </si>
  <si>
    <t>Vị trí Quản trị công nghệ thông tin,</t>
  </si>
  <si>
    <t>Tdung 1/11/20 GV sang CV (cũ: Ký HĐ với HV từ 1/1/20</t>
  </si>
  <si>
    <t>Hưởng PC độc hại lưu trữ và chế độ bồi dưỡng từ 26/2/2019, nghỉ ko lương 1 tháng từ 28/12/20 - 28/01/2021</t>
  </si>
  <si>
    <t>Nâng lương trc thời hạn trước 12 T 2020</t>
  </si>
  <si>
    <t>Nâng lương trc hạn 9 T năm 2020</t>
  </si>
  <si>
    <t>Nâng lương trc hạn 6 T năm 2020. Nghỉ ko lg từ 24/1-31/1/2020: 2 ngày - nghỉ tết cuoi tuan</t>
  </si>
  <si>
    <t>Nâng lương trc hạn 9T chỉ tiêu năm 2020</t>
  </si>
  <si>
    <t>Tdung từ 1/2/21</t>
  </si>
  <si>
    <t>Vị trí Quản lý bồi dưỡng,</t>
  </si>
  <si>
    <t>Tdung từ 1/2/21 từ CV sang KTV</t>
  </si>
  <si>
    <t>Vị trí Giảng dạy,</t>
  </si>
  <si>
    <t>Tdung 1/11/20 (tập sự = hĐ thời vụ</t>
  </si>
  <si>
    <t>Vị trí Quản lý nguồn nhân lực, Phòng Tổ chức - Cán bộ,</t>
  </si>
  <si>
    <t>Nâng lg trước hạn 06 tháng, GVC 1/1/21</t>
  </si>
  <si>
    <t>GVC 1/1/21</t>
  </si>
  <si>
    <t>Nâng lg trước hạn 09 tháng, GVC 1/1/21</t>
  </si>
  <si>
    <t>Trưởng Ban</t>
  </si>
  <si>
    <t>(nang lương sớm 2017), GVC từ 1/1/21, Trưởng Ban tccb 7/4/21</t>
  </si>
  <si>
    <t>VC/ NLĐ</t>
  </si>
  <si>
    <t>hưởng pc độc hại làm thư viện 0,20 và bd hiện vật từ 1/6/21 (hưởng 0,1 phụ cấp độc hại và bồi dưỡng bằng hiện vật từ 1/9/20)</t>
  </si>
  <si>
    <t>2018</t>
  </si>
  <si>
    <t>Hưởng PCTN từ 11/20 mức 9% họp T8/21</t>
  </si>
  <si>
    <t>Tdung 1/11/20 Nâng lg trước hạn 09 tháng; Hưởng PCTN từ 11/20 mức 9% họp T8/21</t>
  </si>
  <si>
    <t>Tdung 1/8/21</t>
  </si>
  <si>
    <t>V.08.03.07</t>
  </si>
  <si>
    <t>V.11.01.02</t>
  </si>
  <si>
    <t>V.11.01.03</t>
  </si>
  <si>
    <t>V.11.01.01</t>
  </si>
  <si>
    <t>Tdung 1/2/2022</t>
  </si>
  <si>
    <t>V.11.02.06</t>
  </si>
  <si>
    <t>V.11.02.05</t>
  </si>
  <si>
    <t>V.11.02.04</t>
  </si>
  <si>
    <t>I</t>
  </si>
  <si>
    <t>ĐỦ ĐIỀU KIỆN, TIÊU CHUẨN XÉT NÂNG BẬC LƯƠNG THƯỜNG XUYÊN</t>
  </si>
  <si>
    <t>II</t>
  </si>
  <si>
    <t>ĐỦ ĐIỀU KIỆN, TIÊU CHUẨN XÉT HƯỞNG, NÂNG PHỤ CẤP THÂM NIÊN VƯỢT KHUNG</t>
  </si>
  <si>
    <t>Xếp hưởng PCTNNG T8-21</t>
  </si>
  <si>
    <t xml:space="preserve">KT. TRƯỞNG BAN
PHÓ TRƯỞNG BAN
</t>
  </si>
  <si>
    <t xml:space="preserve">
KT. TRƯỞNG BAN
PHÓ TRƯỞNG BAN
Lê Hoàng Anh</t>
  </si>
  <si>
    <r>
      <rPr>
        <b/>
        <sz val="10"/>
        <rFont val="Times New Roman"/>
        <family val="1"/>
      </rPr>
      <t xml:space="preserve">* </t>
    </r>
    <r>
      <rPr>
        <b/>
        <u/>
        <sz val="10"/>
        <rFont val="Times New Roman"/>
        <family val="1"/>
      </rPr>
      <t>Lưu ý</t>
    </r>
    <r>
      <rPr>
        <sz val="10"/>
        <rFont val="Times New Roman"/>
        <family val="1"/>
      </rPr>
      <t xml:space="preserve">: </t>
    </r>
  </si>
  <si>
    <t>12 trường hợp</t>
  </si>
  <si>
    <t xml:space="preserve"> - Danh sách này được niêm yết công khai trên bảng tầng 4 nhà C tại trụ sở Học viện ở Hà Nội, tại các phân viện trực thuộc Học viện và đăng tải trên Website Học viện Hành chính QG;</t>
  </si>
  <si>
    <r>
      <t xml:space="preserve"> </t>
    </r>
    <r>
      <rPr>
        <b/>
        <sz val="10"/>
        <rFont val="Times New Roman"/>
        <family val="1"/>
      </rPr>
      <t xml:space="preserve">* </t>
    </r>
    <r>
      <rPr>
        <b/>
        <u/>
        <sz val="10"/>
        <rFont val="Times New Roman"/>
        <family val="1"/>
      </rPr>
      <t>Lưu ý:</t>
    </r>
    <r>
      <rPr>
        <b/>
        <sz val="10"/>
        <rFont val="Times New Roman"/>
        <family val="1"/>
      </rPr>
      <t xml:space="preserve">  
 </t>
    </r>
    <r>
      <rPr>
        <sz val="10"/>
        <rFont val="Times New Roman"/>
        <family val="1"/>
      </rPr>
      <t>- Danh sách này được niêm yết công khai trên bảng tầng 4 nhà C tại trụ sở Học viện ở Hà Nội,  tại các phân viện trực thuộc Học viện và đăng tải trên Website Học viện Hành chính Quốc gia;</t>
    </r>
  </si>
  <si>
    <t xml:space="preserve">Hà Nội, ngày 16 tháng  09 năm 2022 </t>
  </si>
  <si>
    <r>
      <t>DANH SÁCH VIÊN CHỨC VÀ NGƯỜI LAO ĐỘNG THUỘC HỌC VIỆN HÀNH CHÍNH QUỐC GIA
ĐỦ ĐIỀU KIỆN, TIÊU CHUẨN XEM XÉT NÂNG BẬC LƯƠNG THƯỜNG XUYÊN TRONG THÁNG 10</t>
    </r>
    <r>
      <rPr>
        <b/>
        <sz val="10"/>
        <color rgb="FF0000FF"/>
        <rFont val="Times New Roman"/>
        <family val="1"/>
      </rPr>
      <t xml:space="preserve"> NĂM 2022</t>
    </r>
  </si>
  <si>
    <r>
      <t>- Các ý kiến thắc mắc liên quan (nếu có) đề nghị phản hồi tới Ban Tổ chức cán bộ hạn cuối vào ngày 30/09</t>
    </r>
    <r>
      <rPr>
        <sz val="10"/>
        <color indexed="12"/>
        <rFont val="Times New Roman"/>
        <family val="1"/>
      </rPr>
      <t>/2022 (người tiếp nhận: Vũ Thị Hiền, ĐT:  024 38 359 295/ 0384 328 728).</t>
    </r>
  </si>
  <si>
    <t xml:space="preserve">Ngô Văn Trân </t>
  </si>
  <si>
    <r>
      <t>- Các ý kiến thắc mắc liên quan (nếu có), đề nghị phản hồi tới Ban Tổ chức cán bộ hạn cuối vào ngày</t>
    </r>
    <r>
      <rPr>
        <sz val="10"/>
        <color rgb="FF0000FF"/>
        <rFont val="Times New Roman"/>
        <family val="1"/>
      </rPr>
      <t xml:space="preserve"> 30/09/2022 (người tiếp nhận: Vũ Thị Hiền, ĐT:  024 38 359 295/ 0384 328 728).</t>
    </r>
  </si>
  <si>
    <t>Hà Nội, ngày 16 tháng  09 năm 2022</t>
  </si>
  <si>
    <r>
      <t>DANH SÁCH NHÀ GIÁO THUỘC HỌC VIỆN HÀNH CHÍNH QUỐC GIA 
ĐỦ ĐIỀU KIỆN XEM XÉT NÂNG PHỤ CẤP THÂM NIÊN TRONG THÁNG 10</t>
    </r>
    <r>
      <rPr>
        <b/>
        <sz val="10"/>
        <color rgb="FF0000FF"/>
        <rFont val="Times New Roman"/>
        <family val="1"/>
      </rPr>
      <t xml:space="preserve"> NĂM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</si>
</sst>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b/>
      <sz val="9"/>
      <color indexed="12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sz val="8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sz val="8"/>
      <color indexed="58"/>
      <name val="Arial Narrow"/>
      <family val="2"/>
    </font>
    <font>
      <sz val="8"/>
      <color indexed="16"/>
      <name val="Arial Narrow"/>
      <family val="2"/>
    </font>
    <font>
      <sz val="9"/>
      <color indexed="58"/>
      <name val="Arial Narrow"/>
      <family val="2"/>
    </font>
    <font>
      <sz val="9"/>
      <color indexed="16"/>
      <name val="Arial Narrow"/>
      <family val="2"/>
    </font>
    <font>
      <sz val="9"/>
      <color indexed="12"/>
      <name val="Arial Narrow"/>
      <family val="2"/>
    </font>
    <font>
      <b/>
      <sz val="10"/>
      <color indexed="12"/>
      <name val="Arial Narrow"/>
      <family val="2"/>
    </font>
    <font>
      <b/>
      <sz val="9"/>
      <color indexed="9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sz val="8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rgb="FF0000FF"/>
      <name val="Arial Narrow"/>
      <family val="2"/>
    </font>
    <font>
      <sz val="9"/>
      <color rgb="FF0000FF"/>
      <name val="Arial Narrow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10"/>
      <color rgb="FF800000"/>
      <name val="Arial Narrow"/>
      <family val="2"/>
    </font>
    <font>
      <sz val="9"/>
      <color rgb="FF800000"/>
      <name val="Arial Narrow"/>
      <family val="2"/>
    </font>
    <font>
      <sz val="9"/>
      <color rgb="FF0000FF"/>
      <name val="Arial"/>
      <family val="2"/>
    </font>
    <font>
      <sz val="8"/>
      <color rgb="FF0000FF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 Narrow"/>
      <family val="2"/>
    </font>
    <font>
      <sz val="10"/>
      <color rgb="FFFF0000"/>
      <name val="Arial Narrow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color indexed="8"/>
      <name val="Times New Roman"/>
      <family val="1"/>
    </font>
    <font>
      <sz val="10"/>
      <color theme="0"/>
      <name val="Times New Roman"/>
      <family val="1"/>
    </font>
    <font>
      <sz val="10"/>
      <color rgb="FF800000"/>
      <name val="Times New Roman"/>
      <family val="1"/>
    </font>
    <font>
      <sz val="10"/>
      <color indexed="58"/>
      <name val="Times New Roman"/>
      <family val="1"/>
    </font>
    <font>
      <b/>
      <sz val="10"/>
      <color indexed="12"/>
      <name val="Times New Roman"/>
      <family val="1"/>
    </font>
    <font>
      <sz val="10"/>
      <color indexed="9"/>
      <name val="Times New Roman"/>
      <family val="1"/>
    </font>
    <font>
      <sz val="10"/>
      <color rgb="FFFF0000"/>
      <name val="Times New Roman"/>
      <family val="1"/>
    </font>
    <font>
      <i/>
      <sz val="10"/>
      <color rgb="FF0000FF"/>
      <name val="Times New Roman"/>
      <family val="1"/>
    </font>
    <font>
      <i/>
      <sz val="10"/>
      <color indexed="12"/>
      <name val="Times New Roman"/>
      <family val="1"/>
    </font>
    <font>
      <b/>
      <u/>
      <sz val="10"/>
      <name val="Times New Roman"/>
      <family val="1"/>
    </font>
    <font>
      <sz val="10"/>
      <color indexed="12"/>
      <name val="Times New Roman"/>
      <family val="1"/>
    </font>
    <font>
      <b/>
      <sz val="10"/>
      <color theme="0"/>
      <name val="Times New Roman"/>
      <family val="1"/>
    </font>
    <font>
      <i/>
      <sz val="10"/>
      <color theme="0"/>
      <name val="Times New Roman"/>
      <family val="1"/>
    </font>
    <font>
      <sz val="10"/>
      <color indexed="10"/>
      <name val="Times New Roman"/>
      <family val="1"/>
    </font>
    <font>
      <sz val="10"/>
      <color indexed="13"/>
      <name val="Times New Roman"/>
      <family val="1"/>
    </font>
    <font>
      <sz val="10"/>
      <color indexed="8"/>
      <name val="Arial Narrow"/>
      <family val="2"/>
    </font>
    <font>
      <sz val="10"/>
      <color indexed="58"/>
      <name val="Arial Narrow"/>
      <family val="2"/>
    </font>
    <font>
      <sz val="10"/>
      <color indexed="9"/>
      <name val="Arial Narrow"/>
      <family val="2"/>
    </font>
    <font>
      <b/>
      <sz val="10"/>
      <color rgb="FFFF0000"/>
      <name val="Arial Narrow"/>
      <family val="2"/>
    </font>
    <font>
      <sz val="10"/>
      <color indexed="16"/>
      <name val="Arial Narrow"/>
      <family val="2"/>
    </font>
    <font>
      <sz val="10"/>
      <color indexed="16"/>
      <name val="Times New Roman"/>
      <family val="1"/>
    </font>
    <font>
      <i/>
      <sz val="8"/>
      <name val="Times New Roman"/>
      <family val="1"/>
    </font>
    <font>
      <sz val="10"/>
      <color indexed="12"/>
      <name val="Arial Narrow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12"/>
      <name val="Times New Roman"/>
      <family val="1"/>
    </font>
    <font>
      <b/>
      <sz val="9"/>
      <color indexed="9"/>
      <name val="Times New Roman"/>
      <family val="1"/>
    </font>
    <font>
      <sz val="9"/>
      <color theme="1"/>
      <name val="Arial Narrow"/>
      <family val="2"/>
    </font>
    <font>
      <b/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4"/>
      <name val="Times New Roman"/>
      <family val="1"/>
    </font>
    <font>
      <sz val="8"/>
      <color rgb="FF0000FF"/>
      <name val="Times New Roman"/>
      <family val="1"/>
    </font>
    <font>
      <i/>
      <sz val="12"/>
      <color theme="1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60">
    <xf numFmtId="0" fontId="0" fillId="0" borderId="0" xfId="0"/>
    <xf numFmtId="0" fontId="4" fillId="5" borderId="0" xfId="0" applyFont="1" applyFill="1"/>
    <xf numFmtId="0" fontId="5" fillId="5" borderId="0" xfId="0" applyFont="1" applyFill="1"/>
    <xf numFmtId="0" fontId="4" fillId="0" borderId="0" xfId="0" applyFont="1"/>
    <xf numFmtId="0" fontId="6" fillId="9" borderId="0" xfId="0" applyFont="1" applyFill="1" applyAlignment="1">
      <alignment horizont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2" fillId="5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49" fontId="5" fillId="2" borderId="0" xfId="0" applyNumberFormat="1" applyFont="1" applyFill="1"/>
    <xf numFmtId="2" fontId="2" fillId="5" borderId="0" xfId="0" applyNumberFormat="1" applyFont="1" applyFill="1" applyAlignment="1">
      <alignment horizontal="center" vertical="center"/>
    </xf>
    <xf numFmtId="2" fontId="4" fillId="5" borderId="0" xfId="0" applyNumberFormat="1" applyFont="1" applyFill="1"/>
    <xf numFmtId="2" fontId="4" fillId="2" borderId="0" xfId="0" applyNumberFormat="1" applyFont="1" applyFill="1"/>
    <xf numFmtId="2" fontId="5" fillId="2" borderId="0" xfId="0" applyNumberFormat="1" applyFont="1" applyFill="1"/>
    <xf numFmtId="0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vertical="center"/>
    </xf>
    <xf numFmtId="1" fontId="11" fillId="2" borderId="1" xfId="0" applyNumberFormat="1" applyFont="1" applyFill="1" applyBorder="1" applyAlignment="1">
      <alignment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2" fontId="15" fillId="2" borderId="1" xfId="0" applyNumberFormat="1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3" xfId="0" applyNumberFormat="1" applyFont="1" applyFill="1" applyBorder="1" applyAlignment="1">
      <alignment horizontal="center" vertical="center" wrapText="1"/>
    </xf>
    <xf numFmtId="0" fontId="15" fillId="2" borderId="24" xfId="0" applyNumberFormat="1" applyFont="1" applyFill="1" applyBorder="1" applyAlignment="1">
      <alignment horizontal="left" vertical="center" wrapText="1"/>
    </xf>
    <xf numFmtId="2" fontId="15" fillId="2" borderId="29" xfId="0" applyNumberFormat="1" applyFont="1" applyFill="1" applyBorder="1" applyAlignment="1">
      <alignment horizontal="center" vertical="center"/>
    </xf>
    <xf numFmtId="2" fontId="15" fillId="2" borderId="30" xfId="0" applyNumberFormat="1" applyFont="1" applyFill="1" applyBorder="1" applyAlignment="1">
      <alignment vertical="center"/>
    </xf>
    <xf numFmtId="0" fontId="15" fillId="2" borderId="1" xfId="0" applyNumberFormat="1" applyFont="1" applyFill="1" applyBorder="1" applyAlignment="1">
      <alignment horizontal="left" vertical="center" wrapText="1"/>
    </xf>
    <xf numFmtId="1" fontId="15" fillId="2" borderId="7" xfId="0" applyNumberFormat="1" applyFont="1" applyFill="1" applyBorder="1" applyAlignment="1">
      <alignment horizontal="center" vertical="center"/>
    </xf>
    <xf numFmtId="0" fontId="15" fillId="2" borderId="18" xfId="0" applyNumberFormat="1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left" vertical="center"/>
    </xf>
    <xf numFmtId="2" fontId="15" fillId="0" borderId="1" xfId="0" applyNumberFormat="1" applyFont="1" applyFill="1" applyBorder="1" applyAlignment="1">
      <alignment horizontal="center" vertical="center"/>
    </xf>
    <xf numFmtId="1" fontId="15" fillId="2" borderId="7" xfId="0" applyNumberFormat="1" applyFont="1" applyFill="1" applyBorder="1" applyAlignment="1">
      <alignment horizontal="right" vertical="center"/>
    </xf>
    <xf numFmtId="2" fontId="15" fillId="2" borderId="18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left" vertical="center"/>
    </xf>
    <xf numFmtId="49" fontId="15" fillId="2" borderId="21" xfId="0" applyNumberFormat="1" applyFont="1" applyFill="1" applyBorder="1" applyAlignment="1">
      <alignment horizontal="right" vertical="center"/>
    </xf>
    <xf numFmtId="49" fontId="15" fillId="2" borderId="18" xfId="0" applyNumberFormat="1" applyFont="1" applyFill="1" applyBorder="1" applyAlignment="1">
      <alignment horizontal="center" vertical="center"/>
    </xf>
    <xf numFmtId="0" fontId="15" fillId="2" borderId="20" xfId="0" applyNumberFormat="1" applyFont="1" applyFill="1" applyBorder="1" applyAlignment="1">
      <alignment horizontal="left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right" vertical="center" wrapText="1"/>
    </xf>
    <xf numFmtId="1" fontId="15" fillId="2" borderId="7" xfId="0" applyNumberFormat="1" applyFont="1" applyFill="1" applyBorder="1" applyAlignment="1">
      <alignment horizontal="right" vertical="center" wrapText="1"/>
    </xf>
    <xf numFmtId="49" fontId="15" fillId="2" borderId="21" xfId="0" applyNumberFormat="1" applyFont="1" applyFill="1" applyBorder="1" applyAlignment="1">
      <alignment horizontal="right" vertical="center" wrapText="1"/>
    </xf>
    <xf numFmtId="49" fontId="19" fillId="2" borderId="9" xfId="0" applyNumberFormat="1" applyFont="1" applyFill="1" applyBorder="1" applyAlignment="1">
      <alignment vertical="center"/>
    </xf>
    <xf numFmtId="0" fontId="10" fillId="2" borderId="13" xfId="0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4" xfId="0" applyNumberFormat="1" applyFont="1" applyFill="1" applyBorder="1" applyAlignment="1">
      <alignment horizontal="center" vertical="center"/>
    </xf>
    <xf numFmtId="0" fontId="15" fillId="2" borderId="15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1" fontId="14" fillId="2" borderId="7" xfId="0" applyNumberFormat="1" applyFont="1" applyFill="1" applyBorder="1" applyAlignment="1">
      <alignment horizontal="right" vertical="center"/>
    </xf>
    <xf numFmtId="2" fontId="10" fillId="2" borderId="1" xfId="0" applyNumberFormat="1" applyFont="1" applyFill="1" applyBorder="1" applyAlignment="1">
      <alignment horizontal="center" vertical="center"/>
    </xf>
    <xf numFmtId="1" fontId="14" fillId="2" borderId="8" xfId="0" applyNumberFormat="1" applyFont="1" applyFill="1" applyBorder="1" applyAlignment="1">
      <alignment horizontal="center" vertical="center"/>
    </xf>
    <xf numFmtId="1" fontId="14" fillId="2" borderId="24" xfId="0" applyNumberFormat="1" applyFont="1" applyFill="1" applyBorder="1" applyAlignment="1">
      <alignment horizontal="center" vertical="center" wrapText="1"/>
    </xf>
    <xf numFmtId="0" fontId="15" fillId="2" borderId="8" xfId="0" applyNumberFormat="1" applyFont="1" applyFill="1" applyBorder="1" applyAlignment="1">
      <alignment horizontal="center" vertical="center" wrapText="1"/>
    </xf>
    <xf numFmtId="0" fontId="15" fillId="2" borderId="9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left" vertical="center"/>
    </xf>
    <xf numFmtId="0" fontId="15" fillId="2" borderId="1" xfId="0" applyNumberFormat="1" applyFont="1" applyFill="1" applyBorder="1" applyAlignment="1">
      <alignment vertical="center"/>
    </xf>
    <xf numFmtId="0" fontId="15" fillId="2" borderId="20" xfId="0" applyNumberFormat="1" applyFont="1" applyFill="1" applyBorder="1" applyAlignment="1">
      <alignment horizontal="right" vertical="center" wrapText="1"/>
    </xf>
    <xf numFmtId="0" fontId="15" fillId="2" borderId="3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right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left" vertical="center"/>
    </xf>
    <xf numFmtId="1" fontId="15" fillId="2" borderId="31" xfId="0" applyNumberFormat="1" applyFont="1" applyFill="1" applyBorder="1" applyAlignment="1">
      <alignment horizontal="left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vertical="center" wrapText="1"/>
    </xf>
    <xf numFmtId="0" fontId="15" fillId="2" borderId="9" xfId="0" applyNumberFormat="1" applyFont="1" applyFill="1" applyBorder="1" applyAlignment="1">
      <alignment horizontal="left" vertical="center" wrapText="1"/>
    </xf>
    <xf numFmtId="0" fontId="15" fillId="2" borderId="24" xfId="0" applyNumberFormat="1" applyFont="1" applyFill="1" applyBorder="1" applyAlignment="1">
      <alignment horizontal="left" vertical="center"/>
    </xf>
    <xf numFmtId="1" fontId="15" fillId="2" borderId="8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3" borderId="9" xfId="0" applyNumberFormat="1" applyFont="1" applyFill="1" applyBorder="1" applyAlignment="1">
      <alignment horizontal="left" vertical="center" wrapText="1"/>
    </xf>
    <xf numFmtId="0" fontId="15" fillId="11" borderId="8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2" fontId="15" fillId="0" borderId="1" xfId="0" applyNumberFormat="1" applyFont="1" applyFill="1" applyBorder="1" applyAlignment="1">
      <alignment horizontal="left" vertical="center"/>
    </xf>
    <xf numFmtId="0" fontId="15" fillId="4" borderId="24" xfId="0" applyNumberFormat="1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20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left" vertical="center" wrapText="1"/>
    </xf>
    <xf numFmtId="2" fontId="15" fillId="0" borderId="29" xfId="0" applyNumberFormat="1" applyFont="1" applyFill="1" applyBorder="1" applyAlignment="1">
      <alignment horizontal="center" vertical="center"/>
    </xf>
    <xf numFmtId="2" fontId="15" fillId="0" borderId="30" xfId="0" applyNumberFormat="1" applyFont="1" applyFill="1" applyBorder="1" applyAlignment="1">
      <alignment vertical="center"/>
    </xf>
    <xf numFmtId="1" fontId="15" fillId="0" borderId="7" xfId="0" applyNumberFormat="1" applyFont="1" applyFill="1" applyBorder="1" applyAlignment="1">
      <alignment horizontal="center" vertical="center"/>
    </xf>
    <xf numFmtId="2" fontId="15" fillId="0" borderId="18" xfId="0" applyNumberFormat="1" applyFont="1" applyFill="1" applyBorder="1" applyAlignment="1">
      <alignment horizontal="center" vertical="center"/>
    </xf>
    <xf numFmtId="1" fontId="15" fillId="0" borderId="31" xfId="0" applyNumberFormat="1" applyFont="1" applyFill="1" applyBorder="1" applyAlignment="1">
      <alignment horizontal="left" vertical="center"/>
    </xf>
    <xf numFmtId="49" fontId="15" fillId="0" borderId="21" xfId="0" applyNumberFormat="1" applyFont="1" applyFill="1" applyBorder="1" applyAlignment="1">
      <alignment horizontal="right" vertical="center"/>
    </xf>
    <xf numFmtId="49" fontId="15" fillId="0" borderId="18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right" vertical="center" wrapText="1"/>
    </xf>
    <xf numFmtId="1" fontId="15" fillId="0" borderId="7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vertical="center"/>
    </xf>
    <xf numFmtId="0" fontId="15" fillId="0" borderId="13" xfId="0" applyFont="1" applyFill="1" applyBorder="1" applyAlignment="1">
      <alignment vertical="center"/>
    </xf>
    <xf numFmtId="1" fontId="14" fillId="0" borderId="24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vertical="center"/>
    </xf>
    <xf numFmtId="0" fontId="15" fillId="0" borderId="9" xfId="0" applyNumberFormat="1" applyFont="1" applyFill="1" applyBorder="1" applyAlignment="1">
      <alignment horizontal="left" vertical="center" wrapText="1"/>
    </xf>
    <xf numFmtId="0" fontId="15" fillId="0" borderId="20" xfId="0" applyNumberFormat="1" applyFont="1" applyFill="1" applyBorder="1" applyAlignment="1">
      <alignment horizontal="right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8" borderId="1" xfId="0" applyFont="1" applyFill="1" applyBorder="1" applyAlignment="1">
      <alignment vertical="center"/>
    </xf>
    <xf numFmtId="49" fontId="20" fillId="2" borderId="18" xfId="0" applyNumberFormat="1" applyFont="1" applyFill="1" applyBorder="1" applyAlignment="1">
      <alignment horizontal="center" vertical="center"/>
    </xf>
    <xf numFmtId="49" fontId="20" fillId="2" borderId="9" xfId="0" applyNumberFormat="1" applyFont="1" applyFill="1" applyBorder="1" applyAlignment="1">
      <alignment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20" fillId="2" borderId="14" xfId="0" applyNumberFormat="1" applyFont="1" applyFill="1" applyBorder="1" applyAlignment="1">
      <alignment horizontal="center" vertical="center"/>
    </xf>
    <xf numFmtId="0" fontId="20" fillId="2" borderId="13" xfId="0" applyNumberFormat="1" applyFont="1" applyFill="1" applyBorder="1" applyAlignment="1">
      <alignment horizontal="center" vertical="center" wrapText="1"/>
    </xf>
    <xf numFmtId="0" fontId="20" fillId="2" borderId="13" xfId="0" applyNumberFormat="1" applyFont="1" applyFill="1" applyBorder="1" applyAlignment="1">
      <alignment horizontal="center" vertical="center"/>
    </xf>
    <xf numFmtId="0" fontId="20" fillId="2" borderId="8" xfId="0" applyNumberFormat="1" applyFont="1" applyFill="1" applyBorder="1" applyAlignment="1">
      <alignment horizontal="center" vertical="center"/>
    </xf>
    <xf numFmtId="0" fontId="20" fillId="2" borderId="9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left" vertical="center" wrapText="1"/>
    </xf>
    <xf numFmtId="0" fontId="15" fillId="2" borderId="7" xfId="0" applyNumberFormat="1" applyFont="1" applyFill="1" applyBorder="1" applyAlignment="1">
      <alignment horizontal="right" vertical="center"/>
    </xf>
    <xf numFmtId="0" fontId="14" fillId="2" borderId="14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1" fontId="14" fillId="0" borderId="7" xfId="0" applyNumberFormat="1" applyFont="1" applyFill="1" applyBorder="1" applyAlignment="1">
      <alignment horizontal="right" vertical="center"/>
    </xf>
    <xf numFmtId="1" fontId="14" fillId="0" borderId="8" xfId="0" applyNumberFormat="1" applyFont="1" applyFill="1" applyBorder="1" applyAlignment="1">
      <alignment horizontal="center" vertical="center"/>
    </xf>
    <xf numFmtId="0" fontId="15" fillId="0" borderId="3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0" fontId="15" fillId="13" borderId="8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0" borderId="8" xfId="0" applyFont="1" applyBorder="1"/>
    <xf numFmtId="0" fontId="15" fillId="2" borderId="0" xfId="0" applyNumberFormat="1" applyFont="1" applyFill="1" applyBorder="1" applyAlignment="1">
      <alignment horizontal="left" vertical="center" wrapText="1"/>
    </xf>
    <xf numFmtId="0" fontId="15" fillId="2" borderId="24" xfId="0" applyNumberFormat="1" applyFont="1" applyFill="1" applyBorder="1" applyAlignment="1">
      <alignment vertical="center" wrapText="1"/>
    </xf>
    <xf numFmtId="0" fontId="24" fillId="4" borderId="1" xfId="0" applyNumberFormat="1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14" borderId="0" xfId="0" applyFont="1" applyFill="1"/>
    <xf numFmtId="0" fontId="4" fillId="14" borderId="1" xfId="0" applyNumberFormat="1" applyFont="1" applyFill="1" applyBorder="1" applyAlignment="1">
      <alignment horizontal="left" vertic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2" fontId="4" fillId="14" borderId="1" xfId="0" applyNumberFormat="1" applyFont="1" applyFill="1" applyBorder="1" applyAlignment="1">
      <alignment horizontal="center" vertical="center"/>
    </xf>
    <xf numFmtId="2" fontId="4" fillId="14" borderId="1" xfId="0" applyNumberFormat="1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5" fillId="14" borderId="0" xfId="0" applyFont="1" applyFill="1"/>
    <xf numFmtId="3" fontId="4" fillId="14" borderId="0" xfId="0" applyNumberFormat="1" applyFont="1" applyFill="1"/>
    <xf numFmtId="0" fontId="15" fillId="4" borderId="1" xfId="0" applyNumberFormat="1" applyFont="1" applyFill="1" applyBorder="1" applyAlignment="1">
      <alignment horizontal="left" vertical="center" wrapText="1"/>
    </xf>
    <xf numFmtId="0" fontId="15" fillId="2" borderId="32" xfId="0" applyNumberFormat="1" applyFont="1" applyFill="1" applyBorder="1" applyAlignment="1">
      <alignment horizontal="right" vertical="center"/>
    </xf>
    <xf numFmtId="0" fontId="15" fillId="11" borderId="1" xfId="0" applyFont="1" applyFill="1" applyBorder="1" applyAlignment="1">
      <alignment vertical="center"/>
    </xf>
    <xf numFmtId="49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/>
    </xf>
    <xf numFmtId="49" fontId="15" fillId="2" borderId="0" xfId="0" applyNumberFormat="1" applyFont="1" applyFill="1" applyBorder="1" applyAlignment="1">
      <alignment horizontal="right" vertical="center"/>
    </xf>
    <xf numFmtId="1" fontId="15" fillId="2" borderId="0" xfId="0" applyNumberFormat="1" applyFont="1" applyFill="1" applyBorder="1" applyAlignment="1">
      <alignment horizontal="center" vertical="center"/>
    </xf>
    <xf numFmtId="2" fontId="15" fillId="15" borderId="29" xfId="0" applyNumberFormat="1" applyFont="1" applyFill="1" applyBorder="1" applyAlignment="1">
      <alignment horizontal="center" vertical="center"/>
    </xf>
    <xf numFmtId="2" fontId="15" fillId="15" borderId="30" xfId="0" applyNumberFormat="1" applyFont="1" applyFill="1" applyBorder="1" applyAlignment="1">
      <alignment vertical="center"/>
    </xf>
    <xf numFmtId="0" fontId="15" fillId="15" borderId="32" xfId="0" applyNumberFormat="1" applyFont="1" applyFill="1" applyBorder="1" applyAlignment="1">
      <alignment horizontal="right" vertical="center"/>
    </xf>
    <xf numFmtId="0" fontId="15" fillId="15" borderId="20" xfId="0" applyNumberFormat="1" applyFont="1" applyFill="1" applyBorder="1" applyAlignment="1">
      <alignment horizontal="left" vertical="center"/>
    </xf>
    <xf numFmtId="1" fontId="15" fillId="15" borderId="7" xfId="0" applyNumberFormat="1" applyFont="1" applyFill="1" applyBorder="1" applyAlignment="1">
      <alignment horizontal="right" vertical="center"/>
    </xf>
    <xf numFmtId="2" fontId="15" fillId="15" borderId="18" xfId="0" applyNumberFormat="1" applyFont="1" applyFill="1" applyBorder="1" applyAlignment="1">
      <alignment horizontal="center" vertical="center"/>
    </xf>
    <xf numFmtId="1" fontId="15" fillId="15" borderId="31" xfId="0" applyNumberFormat="1" applyFont="1" applyFill="1" applyBorder="1" applyAlignment="1">
      <alignment horizontal="left" vertical="center"/>
    </xf>
    <xf numFmtId="2" fontId="15" fillId="15" borderId="1" xfId="0" applyNumberFormat="1" applyFont="1" applyFill="1" applyBorder="1" applyAlignment="1">
      <alignment horizontal="left" vertical="center"/>
    </xf>
    <xf numFmtId="0" fontId="24" fillId="15" borderId="1" xfId="0" applyNumberFormat="1" applyFont="1" applyFill="1" applyBorder="1" applyAlignment="1">
      <alignment horizontal="center" vertical="center"/>
    </xf>
    <xf numFmtId="0" fontId="15" fillId="15" borderId="13" xfId="0" applyFont="1" applyFill="1" applyBorder="1" applyAlignment="1">
      <alignment horizontal="left" vertical="center"/>
    </xf>
    <xf numFmtId="0" fontId="15" fillId="15" borderId="8" xfId="0" applyNumberFormat="1" applyFont="1" applyFill="1" applyBorder="1" applyAlignment="1">
      <alignment horizontal="center" vertical="center"/>
    </xf>
    <xf numFmtId="49" fontId="19" fillId="15" borderId="9" xfId="0" applyNumberFormat="1" applyFont="1" applyFill="1" applyBorder="1" applyAlignment="1">
      <alignment vertical="center"/>
    </xf>
    <xf numFmtId="0" fontId="10" fillId="15" borderId="13" xfId="0" applyFont="1" applyFill="1" applyBorder="1" applyAlignment="1">
      <alignment horizontal="left" vertical="center"/>
    </xf>
    <xf numFmtId="49" fontId="15" fillId="15" borderId="1" xfId="0" applyNumberFormat="1" applyFont="1" applyFill="1" applyBorder="1" applyAlignment="1">
      <alignment vertical="center"/>
    </xf>
    <xf numFmtId="2" fontId="10" fillId="15" borderId="1" xfId="0" applyNumberFormat="1" applyFont="1" applyFill="1" applyBorder="1" applyAlignment="1">
      <alignment horizontal="center" vertical="center"/>
    </xf>
    <xf numFmtId="0" fontId="15" fillId="15" borderId="24" xfId="0" applyNumberFormat="1" applyFont="1" applyFill="1" applyBorder="1" applyAlignment="1">
      <alignment horizontal="left" vertical="center" wrapText="1"/>
    </xf>
    <xf numFmtId="0" fontId="15" fillId="15" borderId="9" xfId="0" applyNumberFormat="1" applyFont="1" applyFill="1" applyBorder="1" applyAlignment="1">
      <alignment horizontal="center" vertical="center" wrapText="1"/>
    </xf>
    <xf numFmtId="0" fontId="15" fillId="16" borderId="1" xfId="0" applyNumberFormat="1" applyFont="1" applyFill="1" applyBorder="1" applyAlignment="1">
      <alignment horizontal="center" vertical="center" wrapText="1"/>
    </xf>
    <xf numFmtId="0" fontId="15" fillId="16" borderId="1" xfId="0" applyNumberFormat="1" applyFont="1" applyFill="1" applyBorder="1" applyAlignment="1">
      <alignment horizontal="left" vertical="center" wrapText="1"/>
    </xf>
    <xf numFmtId="0" fontId="15" fillId="16" borderId="13" xfId="0" applyNumberFormat="1" applyFont="1" applyFill="1" applyBorder="1" applyAlignment="1">
      <alignment horizontal="center" vertical="center" wrapText="1"/>
    </xf>
    <xf numFmtId="1" fontId="15" fillId="16" borderId="1" xfId="0" applyNumberFormat="1" applyFont="1" applyFill="1" applyBorder="1" applyAlignment="1">
      <alignment horizontal="center" vertical="center"/>
    </xf>
    <xf numFmtId="0" fontId="15" fillId="16" borderId="32" xfId="0" applyNumberFormat="1" applyFont="1" applyFill="1" applyBorder="1" applyAlignment="1">
      <alignment horizontal="right" vertical="center"/>
    </xf>
    <xf numFmtId="0" fontId="15" fillId="16" borderId="20" xfId="0" applyNumberFormat="1" applyFont="1" applyFill="1" applyBorder="1" applyAlignment="1">
      <alignment horizontal="left" vertical="center"/>
    </xf>
    <xf numFmtId="2" fontId="15" fillId="16" borderId="1" xfId="0" applyNumberFormat="1" applyFont="1" applyFill="1" applyBorder="1" applyAlignment="1">
      <alignment horizontal="center" vertical="center"/>
    </xf>
    <xf numFmtId="1" fontId="15" fillId="16" borderId="31" xfId="0" applyNumberFormat="1" applyFont="1" applyFill="1" applyBorder="1" applyAlignment="1">
      <alignment horizontal="left" vertical="center"/>
    </xf>
    <xf numFmtId="49" fontId="15" fillId="16" borderId="21" xfId="0" applyNumberFormat="1" applyFont="1" applyFill="1" applyBorder="1" applyAlignment="1">
      <alignment horizontal="right" vertical="center"/>
    </xf>
    <xf numFmtId="49" fontId="15" fillId="16" borderId="18" xfId="0" applyNumberFormat="1" applyFont="1" applyFill="1" applyBorder="1" applyAlignment="1">
      <alignment horizontal="center" vertical="center"/>
    </xf>
    <xf numFmtId="0" fontId="24" fillId="16" borderId="1" xfId="0" applyNumberFormat="1" applyFont="1" applyFill="1" applyBorder="1" applyAlignment="1">
      <alignment horizontal="center" vertical="center"/>
    </xf>
    <xf numFmtId="0" fontId="14" fillId="16" borderId="14" xfId="0" applyFont="1" applyFill="1" applyBorder="1" applyAlignment="1">
      <alignment horizontal="center" vertical="center"/>
    </xf>
    <xf numFmtId="0" fontId="15" fillId="16" borderId="8" xfId="0" applyNumberFormat="1" applyFont="1" applyFill="1" applyBorder="1" applyAlignment="1">
      <alignment horizontal="center" vertical="center"/>
    </xf>
    <xf numFmtId="0" fontId="15" fillId="16" borderId="1" xfId="0" applyFont="1" applyFill="1" applyBorder="1" applyAlignment="1">
      <alignment horizontal="center" vertical="center"/>
    </xf>
    <xf numFmtId="1" fontId="15" fillId="16" borderId="8" xfId="0" applyNumberFormat="1" applyFont="1" applyFill="1" applyBorder="1" applyAlignment="1">
      <alignment horizontal="right" vertical="center" wrapText="1"/>
    </xf>
    <xf numFmtId="0" fontId="10" fillId="16" borderId="13" xfId="0" applyFont="1" applyFill="1" applyBorder="1" applyAlignment="1">
      <alignment horizontal="left" vertical="center"/>
    </xf>
    <xf numFmtId="0" fontId="14" fillId="16" borderId="1" xfId="0" applyNumberFormat="1" applyFont="1" applyFill="1" applyBorder="1" applyAlignment="1">
      <alignment horizontal="center" vertical="center" wrapText="1"/>
    </xf>
    <xf numFmtId="1" fontId="15" fillId="16" borderId="7" xfId="0" applyNumberFormat="1" applyFont="1" applyFill="1" applyBorder="1" applyAlignment="1">
      <alignment horizontal="center" vertical="center"/>
    </xf>
    <xf numFmtId="0" fontId="15" fillId="16" borderId="1" xfId="0" applyNumberFormat="1" applyFont="1" applyFill="1" applyBorder="1" applyAlignment="1">
      <alignment horizontal="center" vertical="center"/>
    </xf>
    <xf numFmtId="0" fontId="15" fillId="16" borderId="14" xfId="0" applyNumberFormat="1" applyFont="1" applyFill="1" applyBorder="1" applyAlignment="1">
      <alignment horizontal="center" vertical="center"/>
    </xf>
    <xf numFmtId="0" fontId="15" fillId="16" borderId="15" xfId="0" applyNumberFormat="1" applyFont="1" applyFill="1" applyBorder="1" applyAlignment="1">
      <alignment horizontal="center" vertical="center" wrapText="1"/>
    </xf>
    <xf numFmtId="0" fontId="15" fillId="16" borderId="13" xfId="0" applyNumberFormat="1" applyFont="1" applyFill="1" applyBorder="1" applyAlignment="1">
      <alignment horizontal="center" vertical="center"/>
    </xf>
    <xf numFmtId="1" fontId="14" fillId="16" borderId="7" xfId="0" applyNumberFormat="1" applyFont="1" applyFill="1" applyBorder="1" applyAlignment="1">
      <alignment horizontal="right" vertical="center"/>
    </xf>
    <xf numFmtId="2" fontId="10" fillId="16" borderId="1" xfId="0" applyNumberFormat="1" applyFont="1" applyFill="1" applyBorder="1" applyAlignment="1">
      <alignment horizontal="center" vertical="center"/>
    </xf>
    <xf numFmtId="0" fontId="15" fillId="16" borderId="14" xfId="0" applyFont="1" applyFill="1" applyBorder="1" applyAlignment="1">
      <alignment vertical="center"/>
    </xf>
    <xf numFmtId="0" fontId="15" fillId="16" borderId="13" xfId="0" applyFont="1" applyFill="1" applyBorder="1" applyAlignment="1">
      <alignment vertical="center"/>
    </xf>
    <xf numFmtId="1" fontId="14" fillId="16" borderId="8" xfId="0" applyNumberFormat="1" applyFont="1" applyFill="1" applyBorder="1" applyAlignment="1">
      <alignment horizontal="center" vertical="center"/>
    </xf>
    <xf numFmtId="1" fontId="14" fillId="16" borderId="24" xfId="0" applyNumberFormat="1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vertical="center" wrapText="1"/>
    </xf>
    <xf numFmtId="0" fontId="15" fillId="16" borderId="1" xfId="0" applyNumberFormat="1" applyFont="1" applyFill="1" applyBorder="1" applyAlignment="1">
      <alignment horizontal="left" vertical="center"/>
    </xf>
    <xf numFmtId="0" fontId="15" fillId="16" borderId="1" xfId="0" applyNumberFormat="1" applyFont="1" applyFill="1" applyBorder="1" applyAlignment="1">
      <alignment vertical="center"/>
    </xf>
    <xf numFmtId="0" fontId="15" fillId="16" borderId="9" xfId="0" applyNumberFormat="1" applyFont="1" applyFill="1" applyBorder="1" applyAlignment="1">
      <alignment horizontal="left" vertical="center" wrapText="1"/>
    </xf>
    <xf numFmtId="0" fontId="15" fillId="16" borderId="20" xfId="0" applyNumberFormat="1" applyFont="1" applyFill="1" applyBorder="1" applyAlignment="1">
      <alignment horizontal="right" vertical="center" wrapText="1"/>
    </xf>
    <xf numFmtId="0" fontId="15" fillId="16" borderId="31" xfId="0" applyNumberFormat="1" applyFont="1" applyFill="1" applyBorder="1" applyAlignment="1">
      <alignment horizontal="center" vertical="center" wrapText="1"/>
    </xf>
    <xf numFmtId="1" fontId="14" fillId="16" borderId="1" xfId="0" applyNumberFormat="1" applyFont="1" applyFill="1" applyBorder="1" applyAlignment="1">
      <alignment horizontal="center" vertical="center"/>
    </xf>
    <xf numFmtId="0" fontId="15" fillId="16" borderId="8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NumberFormat="1" applyFont="1" applyFill="1" applyBorder="1" applyAlignment="1">
      <alignment horizontal="left" vertical="center"/>
    </xf>
    <xf numFmtId="0" fontId="14" fillId="7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horizontal="right" vertical="center" wrapText="1"/>
    </xf>
    <xf numFmtId="0" fontId="15" fillId="17" borderId="8" xfId="0" applyFont="1" applyFill="1" applyBorder="1" applyAlignment="1">
      <alignment vertical="center"/>
    </xf>
    <xf numFmtId="0" fontId="15" fillId="0" borderId="20" xfId="0" applyNumberFormat="1" applyFont="1" applyFill="1" applyBorder="1" applyAlignment="1">
      <alignment horizontal="left" vertical="center" wrapText="1"/>
    </xf>
    <xf numFmtId="0" fontId="15" fillId="16" borderId="13" xfId="0" applyFont="1" applyFill="1" applyBorder="1" applyAlignment="1">
      <alignment horizontal="left" vertical="center"/>
    </xf>
    <xf numFmtId="49" fontId="15" fillId="15" borderId="1" xfId="0" applyNumberFormat="1" applyFont="1" applyFill="1" applyBorder="1" applyAlignment="1">
      <alignment horizontal="left" vertical="center" wrapText="1"/>
    </xf>
    <xf numFmtId="0" fontId="4" fillId="18" borderId="1" xfId="0" applyNumberFormat="1" applyFont="1" applyFill="1" applyBorder="1" applyAlignment="1">
      <alignment horizontal="left" vertical="center" wrapText="1"/>
    </xf>
    <xf numFmtId="0" fontId="4" fillId="19" borderId="1" xfId="0" applyNumberFormat="1" applyFont="1" applyFill="1" applyBorder="1" applyAlignment="1">
      <alignment horizontal="left" vertical="center" wrapText="1"/>
    </xf>
    <xf numFmtId="0" fontId="15" fillId="21" borderId="8" xfId="0" applyFont="1" applyFill="1" applyBorder="1" applyAlignment="1">
      <alignment vertical="center"/>
    </xf>
    <xf numFmtId="0" fontId="27" fillId="15" borderId="8" xfId="0" applyFont="1" applyFill="1" applyBorder="1" applyAlignment="1">
      <alignment vertical="center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vertical="center"/>
    </xf>
    <xf numFmtId="0" fontId="15" fillId="16" borderId="24" xfId="0" applyNumberFormat="1" applyFont="1" applyFill="1" applyBorder="1" applyAlignment="1">
      <alignment horizontal="left" vertical="center" wrapText="1"/>
    </xf>
    <xf numFmtId="0" fontId="27" fillId="16" borderId="8" xfId="0" applyFont="1" applyFill="1" applyBorder="1" applyAlignment="1">
      <alignment vertical="center"/>
    </xf>
    <xf numFmtId="2" fontId="15" fillId="2" borderId="8" xfId="0" applyNumberFormat="1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5" fillId="16" borderId="1" xfId="0" applyFont="1" applyFill="1" applyBorder="1" applyAlignment="1">
      <alignment vertical="center"/>
    </xf>
    <xf numFmtId="0" fontId="15" fillId="16" borderId="9" xfId="0" applyNumberFormat="1" applyFont="1" applyFill="1" applyBorder="1" applyAlignment="1">
      <alignment horizontal="center" vertical="center" wrapText="1"/>
    </xf>
    <xf numFmtId="1" fontId="15" fillId="2" borderId="32" xfId="0" applyNumberFormat="1" applyFont="1" applyFill="1" applyBorder="1" applyAlignment="1">
      <alignment horizontal="right" vertical="center"/>
    </xf>
    <xf numFmtId="0" fontId="14" fillId="7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5" fillId="15" borderId="1" xfId="0" applyNumberFormat="1" applyFont="1" applyFill="1" applyBorder="1" applyAlignment="1">
      <alignment vertical="center" wrapText="1"/>
    </xf>
    <xf numFmtId="0" fontId="15" fillId="20" borderId="8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left" vertical="center" wrapText="1"/>
    </xf>
    <xf numFmtId="49" fontId="19" fillId="2" borderId="9" xfId="0" applyNumberFormat="1" applyFont="1" applyFill="1" applyBorder="1" applyAlignment="1">
      <alignment vertical="center" wrapText="1"/>
    </xf>
    <xf numFmtId="0" fontId="4" fillId="22" borderId="1" xfId="0" applyNumberFormat="1" applyFont="1" applyFill="1" applyBorder="1" applyAlignment="1">
      <alignment horizontal="left" vertical="center" wrapText="1"/>
    </xf>
    <xf numFmtId="49" fontId="1" fillId="22" borderId="1" xfId="0" applyNumberFormat="1" applyFont="1" applyFill="1" applyBorder="1" applyAlignment="1">
      <alignment horizontal="center" vertical="center" wrapText="1"/>
    </xf>
    <xf numFmtId="2" fontId="4" fillId="22" borderId="1" xfId="0" applyNumberFormat="1" applyFont="1" applyFill="1" applyBorder="1" applyAlignment="1">
      <alignment horizontal="center" vertical="center"/>
    </xf>
    <xf numFmtId="2" fontId="4" fillId="22" borderId="1" xfId="0" applyNumberFormat="1" applyFont="1" applyFill="1" applyBorder="1" applyAlignment="1">
      <alignment horizontal="center" vertical="center" wrapText="1"/>
    </xf>
    <xf numFmtId="0" fontId="4" fillId="22" borderId="1" xfId="0" applyFont="1" applyFill="1" applyBorder="1" applyAlignment="1">
      <alignment horizontal="center" vertical="center" wrapText="1"/>
    </xf>
    <xf numFmtId="0" fontId="15" fillId="23" borderId="1" xfId="0" applyNumberFormat="1" applyFont="1" applyFill="1" applyBorder="1" applyAlignment="1">
      <alignment horizontal="center" vertical="center" wrapText="1"/>
    </xf>
    <xf numFmtId="0" fontId="15" fillId="23" borderId="1" xfId="0" applyNumberFormat="1" applyFont="1" applyFill="1" applyBorder="1" applyAlignment="1">
      <alignment horizontal="left" vertical="center" wrapText="1"/>
    </xf>
    <xf numFmtId="0" fontId="15" fillId="23" borderId="13" xfId="0" applyNumberFormat="1" applyFont="1" applyFill="1" applyBorder="1" applyAlignment="1">
      <alignment horizontal="center" vertical="center" wrapText="1"/>
    </xf>
    <xf numFmtId="2" fontId="15" fillId="23" borderId="29" xfId="0" applyNumberFormat="1" applyFont="1" applyFill="1" applyBorder="1" applyAlignment="1">
      <alignment horizontal="center" vertical="center"/>
    </xf>
    <xf numFmtId="2" fontId="15" fillId="23" borderId="30" xfId="0" applyNumberFormat="1" applyFont="1" applyFill="1" applyBorder="1" applyAlignment="1">
      <alignment vertical="center"/>
    </xf>
    <xf numFmtId="1" fontId="15" fillId="23" borderId="1" xfId="0" applyNumberFormat="1" applyFont="1" applyFill="1" applyBorder="1" applyAlignment="1">
      <alignment horizontal="center" vertical="center"/>
    </xf>
    <xf numFmtId="0" fontId="15" fillId="23" borderId="32" xfId="0" applyNumberFormat="1" applyFont="1" applyFill="1" applyBorder="1" applyAlignment="1">
      <alignment horizontal="right" vertical="center"/>
    </xf>
    <xf numFmtId="0" fontId="15" fillId="23" borderId="20" xfId="0" applyNumberFormat="1" applyFont="1" applyFill="1" applyBorder="1" applyAlignment="1">
      <alignment horizontal="left" vertical="center"/>
    </xf>
    <xf numFmtId="2" fontId="15" fillId="23" borderId="1" xfId="0" applyNumberFormat="1" applyFont="1" applyFill="1" applyBorder="1" applyAlignment="1">
      <alignment horizontal="center" vertical="center"/>
    </xf>
    <xf numFmtId="1" fontId="15" fillId="23" borderId="7" xfId="0" applyNumberFormat="1" applyFont="1" applyFill="1" applyBorder="1" applyAlignment="1">
      <alignment horizontal="right" vertical="center"/>
    </xf>
    <xf numFmtId="2" fontId="15" fillId="23" borderId="18" xfId="0" applyNumberFormat="1" applyFont="1" applyFill="1" applyBorder="1" applyAlignment="1">
      <alignment horizontal="center" vertical="center"/>
    </xf>
    <xf numFmtId="1" fontId="15" fillId="23" borderId="31" xfId="0" applyNumberFormat="1" applyFont="1" applyFill="1" applyBorder="1" applyAlignment="1">
      <alignment horizontal="left" vertical="center"/>
    </xf>
    <xf numFmtId="2" fontId="15" fillId="23" borderId="1" xfId="0" applyNumberFormat="1" applyFont="1" applyFill="1" applyBorder="1" applyAlignment="1">
      <alignment horizontal="left" vertical="center"/>
    </xf>
    <xf numFmtId="49" fontId="15" fillId="23" borderId="21" xfId="0" applyNumberFormat="1" applyFont="1" applyFill="1" applyBorder="1" applyAlignment="1">
      <alignment horizontal="right" vertical="center"/>
    </xf>
    <xf numFmtId="49" fontId="15" fillId="23" borderId="0" xfId="0" applyNumberFormat="1" applyFont="1" applyFill="1" applyBorder="1" applyAlignment="1">
      <alignment horizontal="center" vertical="center"/>
    </xf>
    <xf numFmtId="49" fontId="15" fillId="23" borderId="18" xfId="0" applyNumberFormat="1" applyFont="1" applyFill="1" applyBorder="1" applyAlignment="1">
      <alignment horizontal="center" vertical="center"/>
    </xf>
    <xf numFmtId="0" fontId="15" fillId="23" borderId="20" xfId="0" applyNumberFormat="1" applyFont="1" applyFill="1" applyBorder="1" applyAlignment="1">
      <alignment horizontal="left" vertical="center" wrapText="1"/>
    </xf>
    <xf numFmtId="0" fontId="24" fillId="23" borderId="1" xfId="0" applyNumberFormat="1" applyFont="1" applyFill="1" applyBorder="1" applyAlignment="1">
      <alignment horizontal="center" vertical="center"/>
    </xf>
    <xf numFmtId="1" fontId="15" fillId="23" borderId="1" xfId="0" applyNumberFormat="1" applyFont="1" applyFill="1" applyBorder="1" applyAlignment="1">
      <alignment horizontal="center" vertical="center" wrapText="1"/>
    </xf>
    <xf numFmtId="0" fontId="14" fillId="23" borderId="14" xfId="0" applyFont="1" applyFill="1" applyBorder="1" applyAlignment="1">
      <alignment horizontal="center" vertical="center"/>
    </xf>
    <xf numFmtId="0" fontId="15" fillId="23" borderId="13" xfId="0" applyFont="1" applyFill="1" applyBorder="1" applyAlignment="1">
      <alignment horizontal="left" vertical="center"/>
    </xf>
    <xf numFmtId="0" fontId="15" fillId="23" borderId="1" xfId="0" applyFont="1" applyFill="1" applyBorder="1" applyAlignment="1">
      <alignment horizontal="center" vertical="center"/>
    </xf>
    <xf numFmtId="1" fontId="15" fillId="23" borderId="8" xfId="0" applyNumberFormat="1" applyFont="1" applyFill="1" applyBorder="1" applyAlignment="1">
      <alignment horizontal="right" vertical="center" wrapText="1"/>
    </xf>
    <xf numFmtId="1" fontId="15" fillId="23" borderId="7" xfId="0" applyNumberFormat="1" applyFont="1" applyFill="1" applyBorder="1" applyAlignment="1">
      <alignment horizontal="right" vertical="center" wrapText="1"/>
    </xf>
    <xf numFmtId="49" fontId="19" fillId="23" borderId="9" xfId="0" applyNumberFormat="1" applyFont="1" applyFill="1" applyBorder="1" applyAlignment="1">
      <alignment vertical="center"/>
    </xf>
    <xf numFmtId="0" fontId="10" fillId="23" borderId="13" xfId="0" applyFont="1" applyFill="1" applyBorder="1" applyAlignment="1">
      <alignment horizontal="left" vertical="center"/>
    </xf>
    <xf numFmtId="0" fontId="14" fillId="23" borderId="1" xfId="0" applyNumberFormat="1" applyFont="1" applyFill="1" applyBorder="1" applyAlignment="1">
      <alignment horizontal="center" vertical="center" wrapText="1"/>
    </xf>
    <xf numFmtId="1" fontId="15" fillId="23" borderId="7" xfId="0" applyNumberFormat="1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vertical="center"/>
    </xf>
    <xf numFmtId="0" fontId="15" fillId="23" borderId="1" xfId="0" applyNumberFormat="1" applyFont="1" applyFill="1" applyBorder="1" applyAlignment="1">
      <alignment horizontal="center" vertical="center"/>
    </xf>
    <xf numFmtId="0" fontId="15" fillId="23" borderId="14" xfId="0" applyNumberFormat="1" applyFont="1" applyFill="1" applyBorder="1" applyAlignment="1">
      <alignment horizontal="center" vertical="center"/>
    </xf>
    <xf numFmtId="0" fontId="15" fillId="23" borderId="15" xfId="0" applyNumberFormat="1" applyFont="1" applyFill="1" applyBorder="1" applyAlignment="1">
      <alignment horizontal="center" vertical="center" wrapText="1"/>
    </xf>
    <xf numFmtId="0" fontId="15" fillId="23" borderId="13" xfId="0" applyNumberFormat="1" applyFont="1" applyFill="1" applyBorder="1" applyAlignment="1">
      <alignment horizontal="center" vertical="center"/>
    </xf>
    <xf numFmtId="1" fontId="14" fillId="23" borderId="7" xfId="0" applyNumberFormat="1" applyFont="1" applyFill="1" applyBorder="1" applyAlignment="1">
      <alignment horizontal="right" vertical="center"/>
    </xf>
    <xf numFmtId="2" fontId="10" fillId="23" borderId="1" xfId="0" applyNumberFormat="1" applyFont="1" applyFill="1" applyBorder="1" applyAlignment="1">
      <alignment horizontal="center" vertical="center"/>
    </xf>
    <xf numFmtId="0" fontId="15" fillId="23" borderId="14" xfId="0" applyFont="1" applyFill="1" applyBorder="1" applyAlignment="1">
      <alignment vertical="center"/>
    </xf>
    <xf numFmtId="0" fontId="15" fillId="23" borderId="13" xfId="0" applyFont="1" applyFill="1" applyBorder="1" applyAlignment="1">
      <alignment vertical="center"/>
    </xf>
    <xf numFmtId="1" fontId="14" fillId="23" borderId="8" xfId="0" applyNumberFormat="1" applyFont="1" applyFill="1" applyBorder="1" applyAlignment="1">
      <alignment horizontal="center" vertical="center"/>
    </xf>
    <xf numFmtId="1" fontId="14" fillId="23" borderId="24" xfId="0" applyNumberFormat="1" applyFont="1" applyFill="1" applyBorder="1" applyAlignment="1">
      <alignment horizontal="center" vertical="center" wrapText="1"/>
    </xf>
    <xf numFmtId="0" fontId="15" fillId="23" borderId="8" xfId="0" applyNumberFormat="1" applyFont="1" applyFill="1" applyBorder="1" applyAlignment="1">
      <alignment horizontal="center" vertical="center" wrapText="1"/>
    </xf>
    <xf numFmtId="0" fontId="15" fillId="23" borderId="9" xfId="0" applyNumberFormat="1" applyFont="1" applyFill="1" applyBorder="1" applyAlignment="1">
      <alignment horizontal="center" vertical="center"/>
    </xf>
    <xf numFmtId="0" fontId="15" fillId="23" borderId="1" xfId="0" applyNumberFormat="1" applyFont="1" applyFill="1" applyBorder="1" applyAlignment="1">
      <alignment horizontal="left" vertical="center"/>
    </xf>
    <xf numFmtId="0" fontId="15" fillId="23" borderId="1" xfId="0" applyNumberFormat="1" applyFont="1" applyFill="1" applyBorder="1" applyAlignment="1">
      <alignment vertical="center"/>
    </xf>
    <xf numFmtId="0" fontId="15" fillId="23" borderId="20" xfId="0" applyNumberFormat="1" applyFont="1" applyFill="1" applyBorder="1" applyAlignment="1">
      <alignment horizontal="right" vertical="center" wrapText="1"/>
    </xf>
    <xf numFmtId="0" fontId="15" fillId="23" borderId="31" xfId="0" applyNumberFormat="1" applyFont="1" applyFill="1" applyBorder="1" applyAlignment="1">
      <alignment horizontal="center" vertical="center" wrapText="1"/>
    </xf>
    <xf numFmtId="1" fontId="14" fillId="23" borderId="1" xfId="0" applyNumberFormat="1" applyFont="1" applyFill="1" applyBorder="1" applyAlignment="1">
      <alignment horizontal="center" vertical="center"/>
    </xf>
    <xf numFmtId="0" fontId="15" fillId="23" borderId="9" xfId="0" applyNumberFormat="1" applyFont="1" applyFill="1" applyBorder="1" applyAlignment="1">
      <alignment horizontal="left" vertical="center" wrapText="1"/>
    </xf>
    <xf numFmtId="0" fontId="15" fillId="23" borderId="8" xfId="0" applyFont="1" applyFill="1" applyBorder="1" applyAlignment="1">
      <alignment vertical="center"/>
    </xf>
    <xf numFmtId="0" fontId="15" fillId="23" borderId="1" xfId="0" applyFont="1" applyFill="1" applyBorder="1" applyAlignment="1">
      <alignment horizontal="left" vertical="center" wrapText="1"/>
    </xf>
    <xf numFmtId="0" fontId="15" fillId="23" borderId="24" xfId="0" applyNumberFormat="1" applyFont="1" applyFill="1" applyBorder="1" applyAlignment="1">
      <alignment horizontal="left" vertical="center"/>
    </xf>
    <xf numFmtId="0" fontId="15" fillId="24" borderId="8" xfId="0" applyFont="1" applyFill="1" applyBorder="1" applyAlignment="1">
      <alignment vertical="center"/>
    </xf>
    <xf numFmtId="0" fontId="15" fillId="22" borderId="8" xfId="0" applyFont="1" applyFill="1" applyBorder="1" applyAlignment="1">
      <alignment vertical="center"/>
    </xf>
    <xf numFmtId="1" fontId="15" fillId="2" borderId="8" xfId="0" applyNumberFormat="1" applyFont="1" applyFill="1" applyBorder="1" applyAlignment="1">
      <alignment horizontal="right" vertical="center"/>
    </xf>
    <xf numFmtId="0" fontId="16" fillId="2" borderId="1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vertical="center"/>
    </xf>
    <xf numFmtId="1" fontId="29" fillId="15" borderId="2" xfId="0" applyNumberFormat="1" applyFont="1" applyFill="1" applyBorder="1" applyAlignment="1">
      <alignment horizontal="center" vertical="center"/>
    </xf>
    <xf numFmtId="0" fontId="29" fillId="15" borderId="2" xfId="0" applyFont="1" applyFill="1" applyBorder="1" applyAlignment="1">
      <alignment horizontal="center" vertical="center"/>
    </xf>
    <xf numFmtId="0" fontId="7" fillId="5" borderId="0" xfId="0" applyNumberFormat="1" applyFont="1" applyFill="1" applyAlignment="1">
      <alignment horizontal="center" vertical="center"/>
    </xf>
    <xf numFmtId="0" fontId="4" fillId="15" borderId="1" xfId="0" applyNumberFormat="1" applyFont="1" applyFill="1" applyBorder="1" applyAlignment="1">
      <alignment horizontal="center" vertical="center"/>
    </xf>
    <xf numFmtId="0" fontId="4" fillId="26" borderId="1" xfId="0" applyNumberFormat="1" applyFont="1" applyFill="1" applyBorder="1" applyAlignment="1">
      <alignment horizontal="left" vertical="center" wrapText="1"/>
    </xf>
    <xf numFmtId="49" fontId="1" fillId="26" borderId="1" xfId="0" applyNumberFormat="1" applyFont="1" applyFill="1" applyBorder="1" applyAlignment="1">
      <alignment horizontal="center" vertical="center" wrapText="1"/>
    </xf>
    <xf numFmtId="2" fontId="4" fillId="26" borderId="1" xfId="0" applyNumberFormat="1" applyFont="1" applyFill="1" applyBorder="1" applyAlignment="1">
      <alignment horizontal="center" vertical="center"/>
    </xf>
    <xf numFmtId="2" fontId="4" fillId="26" borderId="1" xfId="0" applyNumberFormat="1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3" fontId="4" fillId="0" borderId="0" xfId="0" applyNumberFormat="1" applyFont="1"/>
    <xf numFmtId="0" fontId="4" fillId="25" borderId="0" xfId="0" applyFont="1" applyFill="1"/>
    <xf numFmtId="0" fontId="4" fillId="25" borderId="7" xfId="0" applyFont="1" applyFill="1" applyBorder="1" applyAlignment="1">
      <alignment horizontal="center" vertical="center"/>
    </xf>
    <xf numFmtId="0" fontId="4" fillId="15" borderId="1" xfId="0" applyNumberFormat="1" applyFont="1" applyFill="1" applyBorder="1"/>
    <xf numFmtId="0" fontId="30" fillId="25" borderId="1" xfId="0" applyNumberFormat="1" applyFont="1" applyFill="1" applyBorder="1"/>
    <xf numFmtId="0" fontId="31" fillId="25" borderId="1" xfId="0" applyNumberFormat="1" applyFont="1" applyFill="1" applyBorder="1" applyAlignment="1">
      <alignment horizontal="left" vertical="center" wrapText="1"/>
    </xf>
    <xf numFmtId="49" fontId="32" fillId="25" borderId="1" xfId="0" applyNumberFormat="1" applyFont="1" applyFill="1" applyBorder="1" applyAlignment="1">
      <alignment horizontal="center" vertical="center" wrapText="1"/>
    </xf>
    <xf numFmtId="2" fontId="30" fillId="25" borderId="0" xfId="0" applyNumberFormat="1" applyFont="1" applyFill="1" applyBorder="1" applyAlignment="1">
      <alignment horizontal="center" vertical="center"/>
    </xf>
    <xf numFmtId="2" fontId="30" fillId="25" borderId="0" xfId="0" applyNumberFormat="1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vertical="center" wrapText="1"/>
    </xf>
    <xf numFmtId="0" fontId="4" fillId="27" borderId="1" xfId="0" applyNumberFormat="1" applyFont="1" applyFill="1" applyBorder="1" applyAlignment="1">
      <alignment horizontal="left" vertical="center" wrapText="1"/>
    </xf>
    <xf numFmtId="2" fontId="1" fillId="27" borderId="1" xfId="0" applyNumberFormat="1" applyFont="1" applyFill="1" applyBorder="1" applyAlignment="1">
      <alignment horizontal="center" vertical="center" wrapText="1"/>
    </xf>
    <xf numFmtId="2" fontId="4" fillId="15" borderId="0" xfId="0" applyNumberFormat="1" applyFont="1" applyFill="1" applyBorder="1" applyAlignment="1">
      <alignment horizontal="center" vertical="center"/>
    </xf>
    <xf numFmtId="2" fontId="4" fillId="15" borderId="0" xfId="0" applyNumberFormat="1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5" fillId="15" borderId="0" xfId="0" applyFont="1" applyFill="1"/>
    <xf numFmtId="0" fontId="4" fillId="15" borderId="0" xfId="0" applyFont="1" applyFill="1"/>
    <xf numFmtId="164" fontId="1" fillId="27" borderId="1" xfId="0" applyNumberFormat="1" applyFont="1" applyFill="1" applyBorder="1" applyAlignment="1">
      <alignment horizontal="center" vertical="center" wrapText="1"/>
    </xf>
    <xf numFmtId="0" fontId="4" fillId="28" borderId="1" xfId="0" applyNumberFormat="1" applyFont="1" applyFill="1" applyBorder="1" applyAlignment="1">
      <alignment horizontal="left" vertical="center" wrapText="1"/>
    </xf>
    <xf numFmtId="164" fontId="1" fillId="28" borderId="1" xfId="0" applyNumberFormat="1" applyFont="1" applyFill="1" applyBorder="1" applyAlignment="1">
      <alignment horizontal="center" vertical="center" wrapText="1"/>
    </xf>
    <xf numFmtId="0" fontId="4" fillId="29" borderId="1" xfId="0" applyNumberFormat="1" applyFont="1" applyFill="1" applyBorder="1" applyAlignment="1">
      <alignment horizontal="left" vertical="center" wrapText="1"/>
    </xf>
    <xf numFmtId="164" fontId="1" fillId="29" borderId="1" xfId="0" applyNumberFormat="1" applyFont="1" applyFill="1" applyBorder="1" applyAlignment="1">
      <alignment horizontal="center" vertical="center" wrapText="1"/>
    </xf>
    <xf numFmtId="0" fontId="4" fillId="30" borderId="1" xfId="0" applyNumberFormat="1" applyFont="1" applyFill="1" applyBorder="1" applyAlignment="1">
      <alignment horizontal="left" vertical="center" wrapText="1"/>
    </xf>
    <xf numFmtId="164" fontId="1" fillId="30" borderId="1" xfId="0" applyNumberFormat="1" applyFont="1" applyFill="1" applyBorder="1" applyAlignment="1">
      <alignment horizontal="center" vertical="center" wrapText="1"/>
    </xf>
    <xf numFmtId="0" fontId="4" fillId="30" borderId="14" xfId="0" applyNumberFormat="1" applyFont="1" applyFill="1" applyBorder="1" applyAlignment="1">
      <alignment horizontal="left" vertical="center" wrapText="1"/>
    </xf>
    <xf numFmtId="0" fontId="4" fillId="31" borderId="1" xfId="0" applyNumberFormat="1" applyFont="1" applyFill="1" applyBorder="1" applyAlignment="1">
      <alignment horizontal="left" vertical="center" wrapText="1"/>
    </xf>
    <xf numFmtId="164" fontId="1" fillId="31" borderId="1" xfId="0" applyNumberFormat="1" applyFont="1" applyFill="1" applyBorder="1" applyAlignment="1">
      <alignment horizontal="center" vertical="center" wrapText="1"/>
    </xf>
    <xf numFmtId="0" fontId="4" fillId="31" borderId="7" xfId="0" applyNumberFormat="1" applyFont="1" applyFill="1" applyBorder="1" applyAlignment="1">
      <alignment horizontal="left" vertical="center" wrapText="1"/>
    </xf>
    <xf numFmtId="0" fontId="4" fillId="15" borderId="1" xfId="0" applyNumberFormat="1" applyFont="1" applyFill="1" applyBorder="1" applyAlignment="1">
      <alignment horizontal="left" vertical="center" wrapText="1"/>
    </xf>
    <xf numFmtId="49" fontId="1" fillId="15" borderId="1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/>
    <xf numFmtId="0" fontId="4" fillId="0" borderId="0" xfId="0" applyNumberFormat="1" applyFont="1"/>
    <xf numFmtId="0" fontId="5" fillId="0" borderId="0" xfId="0" applyNumberFormat="1" applyFont="1"/>
    <xf numFmtId="0" fontId="29" fillId="15" borderId="2" xfId="0" applyFont="1" applyFill="1" applyBorder="1" applyAlignment="1">
      <alignment vertical="center" wrapText="1"/>
    </xf>
    <xf numFmtId="0" fontId="29" fillId="15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0" fontId="15" fillId="0" borderId="18" xfId="0" applyFont="1" applyBorder="1"/>
    <xf numFmtId="0" fontId="15" fillId="0" borderId="21" xfId="0" applyFont="1" applyBorder="1"/>
    <xf numFmtId="0" fontId="15" fillId="0" borderId="14" xfId="0" applyFont="1" applyBorder="1"/>
    <xf numFmtId="0" fontId="15" fillId="0" borderId="13" xfId="0" applyFont="1" applyBorder="1"/>
    <xf numFmtId="0" fontId="15" fillId="0" borderId="9" xfId="0" applyFont="1" applyBorder="1"/>
    <xf numFmtId="0" fontId="15" fillId="0" borderId="0" xfId="0" applyFont="1" applyBorder="1" applyAlignment="1">
      <alignment vertical="center"/>
    </xf>
    <xf numFmtId="0" fontId="15" fillId="0" borderId="24" xfId="0" applyFont="1" applyBorder="1"/>
    <xf numFmtId="0" fontId="15" fillId="15" borderId="0" xfId="0" applyFont="1" applyFill="1" applyBorder="1" applyAlignment="1">
      <alignment vertical="center"/>
    </xf>
    <xf numFmtId="0" fontId="15" fillId="15" borderId="1" xfId="0" applyFont="1" applyFill="1" applyBorder="1"/>
    <xf numFmtId="0" fontId="15" fillId="23" borderId="0" xfId="0" applyFont="1" applyFill="1" applyAlignment="1">
      <alignment vertical="center"/>
    </xf>
    <xf numFmtId="0" fontId="15" fillId="15" borderId="8" xfId="0" applyFont="1" applyFill="1" applyBorder="1"/>
    <xf numFmtId="0" fontId="15" fillId="0" borderId="0" xfId="0" applyFont="1" applyBorder="1"/>
    <xf numFmtId="0" fontId="15" fillId="15" borderId="24" xfId="0" applyFont="1" applyFill="1" applyBorder="1"/>
    <xf numFmtId="0" fontId="15" fillId="15" borderId="21" xfId="0" applyFont="1" applyFill="1" applyBorder="1"/>
    <xf numFmtId="0" fontId="15" fillId="23" borderId="0" xfId="0" applyFont="1" applyFill="1" applyBorder="1" applyAlignment="1">
      <alignment vertical="center"/>
    </xf>
    <xf numFmtId="0" fontId="15" fillId="16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15" borderId="25" xfId="0" applyNumberFormat="1" applyFont="1" applyFill="1" applyBorder="1" applyAlignment="1">
      <alignment vertical="center" wrapText="1"/>
    </xf>
    <xf numFmtId="0" fontId="15" fillId="33" borderId="1" xfId="0" applyNumberFormat="1" applyFont="1" applyFill="1" applyBorder="1" applyAlignment="1">
      <alignment horizontal="left" vertical="center" wrapText="1"/>
    </xf>
    <xf numFmtId="0" fontId="15" fillId="0" borderId="25" xfId="0" applyNumberFormat="1" applyFont="1" applyFill="1" applyBorder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1" fontId="29" fillId="0" borderId="2" xfId="0" applyNumberFormat="1" applyFont="1" applyFill="1" applyBorder="1" applyAlignment="1">
      <alignment horizontal="center" vertical="center"/>
    </xf>
    <xf numFmtId="0" fontId="16" fillId="34" borderId="1" xfId="0" applyFont="1" applyFill="1" applyBorder="1"/>
    <xf numFmtId="0" fontId="34" fillId="0" borderId="1" xfId="0" applyFont="1" applyFill="1" applyBorder="1" applyAlignment="1">
      <alignment vertical="center"/>
    </xf>
    <xf numFmtId="0" fontId="34" fillId="0" borderId="1" xfId="0" applyFont="1" applyFill="1" applyBorder="1"/>
    <xf numFmtId="0" fontId="29" fillId="23" borderId="1" xfId="0" applyNumberFormat="1" applyFont="1" applyFill="1" applyBorder="1" applyAlignment="1">
      <alignment horizontal="center" vertical="center" wrapText="1"/>
    </xf>
    <xf numFmtId="0" fontId="15" fillId="23" borderId="25" xfId="0" applyNumberFormat="1" applyFont="1" applyFill="1" applyBorder="1" applyAlignment="1">
      <alignment vertical="center" wrapText="1"/>
    </xf>
    <xf numFmtId="0" fontId="29" fillId="23" borderId="2" xfId="0" applyFont="1" applyFill="1" applyBorder="1" applyAlignment="1">
      <alignment vertical="center" wrapText="1"/>
    </xf>
    <xf numFmtId="0" fontId="34" fillId="23" borderId="1" xfId="0" applyFont="1" applyFill="1" applyBorder="1" applyAlignment="1">
      <alignment vertical="center"/>
    </xf>
    <xf numFmtId="1" fontId="29" fillId="23" borderId="2" xfId="0" applyNumberFormat="1" applyFont="1" applyFill="1" applyBorder="1" applyAlignment="1">
      <alignment horizontal="center" vertical="center"/>
    </xf>
    <xf numFmtId="0" fontId="29" fillId="23" borderId="2" xfId="0" applyFont="1" applyFill="1" applyBorder="1" applyAlignment="1">
      <alignment horizontal="center" vertical="center"/>
    </xf>
    <xf numFmtId="0" fontId="20" fillId="23" borderId="1" xfId="0" applyFont="1" applyFill="1" applyBorder="1" applyAlignment="1">
      <alignment vertical="center"/>
    </xf>
    <xf numFmtId="0" fontId="34" fillId="23" borderId="1" xfId="0" applyNumberFormat="1" applyFont="1" applyFill="1" applyBorder="1" applyAlignment="1">
      <alignment horizontal="left" vertical="center" wrapText="1"/>
    </xf>
    <xf numFmtId="0" fontId="15" fillId="2" borderId="9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vertical="center"/>
    </xf>
    <xf numFmtId="2" fontId="15" fillId="0" borderId="7" xfId="0" applyNumberFormat="1" applyFont="1" applyFill="1" applyBorder="1" applyAlignment="1">
      <alignment horizontal="center" vertical="center"/>
    </xf>
    <xf numFmtId="2" fontId="15" fillId="15" borderId="7" xfId="0" applyNumberFormat="1" applyFont="1" applyFill="1" applyBorder="1" applyAlignment="1">
      <alignment horizontal="center" vertical="center"/>
    </xf>
    <xf numFmtId="2" fontId="15" fillId="2" borderId="7" xfId="0" applyNumberFormat="1" applyFont="1" applyFill="1" applyBorder="1" applyAlignment="1">
      <alignment horizontal="center" vertical="center"/>
    </xf>
    <xf numFmtId="2" fontId="15" fillId="0" borderId="7" xfId="0" applyNumberFormat="1" applyFont="1" applyFill="1" applyBorder="1" applyAlignment="1">
      <alignment horizontal="left" vertical="center"/>
    </xf>
    <xf numFmtId="2" fontId="15" fillId="2" borderId="7" xfId="0" applyNumberFormat="1" applyFont="1" applyFill="1" applyBorder="1" applyAlignment="1">
      <alignment horizontal="left" vertical="center"/>
    </xf>
    <xf numFmtId="2" fontId="15" fillId="23" borderId="7" xfId="0" applyNumberFormat="1" applyFont="1" applyFill="1" applyBorder="1" applyAlignment="1">
      <alignment horizontal="left" vertical="center"/>
    </xf>
    <xf numFmtId="2" fontId="15" fillId="15" borderId="7" xfId="0" applyNumberFormat="1" applyFont="1" applyFill="1" applyBorder="1" applyAlignment="1">
      <alignment horizontal="left" vertical="center"/>
    </xf>
    <xf numFmtId="49" fontId="15" fillId="0" borderId="32" xfId="0" applyNumberFormat="1" applyFont="1" applyFill="1" applyBorder="1" applyAlignment="1">
      <alignment horizontal="right" vertical="center" wrapText="1"/>
    </xf>
    <xf numFmtId="49" fontId="15" fillId="2" borderId="32" xfId="0" applyNumberFormat="1" applyFont="1" applyFill="1" applyBorder="1" applyAlignment="1">
      <alignment horizontal="right" vertical="center" wrapText="1"/>
    </xf>
    <xf numFmtId="49" fontId="15" fillId="15" borderId="32" xfId="0" applyNumberFormat="1" applyFont="1" applyFill="1" applyBorder="1" applyAlignment="1">
      <alignment horizontal="right" vertical="center" wrapText="1"/>
    </xf>
    <xf numFmtId="49" fontId="15" fillId="16" borderId="32" xfId="0" applyNumberFormat="1" applyFont="1" applyFill="1" applyBorder="1" applyAlignment="1">
      <alignment horizontal="right" vertical="center" wrapText="1"/>
    </xf>
    <xf numFmtId="49" fontId="15" fillId="2" borderId="32" xfId="0" applyNumberFormat="1" applyFont="1" applyFill="1" applyBorder="1" applyAlignment="1">
      <alignment horizontal="center" vertical="center" wrapText="1"/>
    </xf>
    <xf numFmtId="49" fontId="15" fillId="23" borderId="32" xfId="0" applyNumberFormat="1" applyFont="1" applyFill="1" applyBorder="1" applyAlignment="1">
      <alignment horizontal="center" vertical="center" wrapText="1"/>
    </xf>
    <xf numFmtId="49" fontId="15" fillId="0" borderId="32" xfId="0" applyNumberFormat="1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/>
    </xf>
    <xf numFmtId="1" fontId="15" fillId="2" borderId="8" xfId="0" applyNumberFormat="1" applyFont="1" applyFill="1" applyBorder="1" applyAlignment="1">
      <alignment horizontal="left" vertical="center" wrapText="1"/>
    </xf>
    <xf numFmtId="1" fontId="15" fillId="23" borderId="8" xfId="0" applyNumberFormat="1" applyFont="1" applyFill="1" applyBorder="1" applyAlignment="1">
      <alignment horizontal="left" vertical="center" wrapText="1"/>
    </xf>
    <xf numFmtId="1" fontId="15" fillId="0" borderId="8" xfId="0" applyNumberFormat="1" applyFont="1" applyFill="1" applyBorder="1" applyAlignment="1">
      <alignment horizontal="left" vertical="center" wrapText="1"/>
    </xf>
    <xf numFmtId="1" fontId="15" fillId="16" borderId="8" xfId="0" applyNumberFormat="1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left" vertical="center"/>
    </xf>
    <xf numFmtId="0" fontId="15" fillId="15" borderId="9" xfId="0" applyFont="1" applyFill="1" applyBorder="1" applyAlignment="1">
      <alignment horizontal="left" vertical="center"/>
    </xf>
    <xf numFmtId="0" fontId="15" fillId="0" borderId="9" xfId="0" applyFont="1" applyBorder="1" applyAlignment="1">
      <alignment horizontal="left"/>
    </xf>
    <xf numFmtId="1" fontId="15" fillId="2" borderId="9" xfId="0" applyNumberFormat="1" applyFont="1" applyFill="1" applyBorder="1" applyAlignment="1">
      <alignment horizontal="left" vertical="center" wrapText="1"/>
    </xf>
    <xf numFmtId="0" fontId="15" fillId="16" borderId="9" xfId="0" applyFont="1" applyFill="1" applyBorder="1" applyAlignment="1">
      <alignment horizontal="left" vertical="center"/>
    </xf>
    <xf numFmtId="0" fontId="4" fillId="38" borderId="0" xfId="0" applyFont="1" applyFill="1"/>
    <xf numFmtId="0" fontId="4" fillId="38" borderId="1" xfId="0" applyNumberFormat="1" applyFont="1" applyFill="1" applyBorder="1" applyAlignment="1">
      <alignment horizontal="center" vertical="center"/>
    </xf>
    <xf numFmtId="0" fontId="4" fillId="38" borderId="1" xfId="0" applyNumberFormat="1" applyFont="1" applyFill="1" applyBorder="1" applyAlignment="1">
      <alignment horizontal="left" vertical="center" wrapText="1"/>
    </xf>
    <xf numFmtId="49" fontId="1" fillId="38" borderId="1" xfId="0" applyNumberFormat="1" applyFont="1" applyFill="1" applyBorder="1" applyAlignment="1">
      <alignment horizontal="center" vertical="center" wrapText="1"/>
    </xf>
    <xf numFmtId="2" fontId="4" fillId="38" borderId="1" xfId="0" applyNumberFormat="1" applyFont="1" applyFill="1" applyBorder="1" applyAlignment="1">
      <alignment horizontal="center" vertical="center"/>
    </xf>
    <xf numFmtId="2" fontId="4" fillId="38" borderId="1" xfId="0" applyNumberFormat="1" applyFont="1" applyFill="1" applyBorder="1" applyAlignment="1">
      <alignment horizontal="center" vertical="center" wrapText="1"/>
    </xf>
    <xf numFmtId="0" fontId="4" fillId="38" borderId="1" xfId="0" applyFont="1" applyFill="1" applyBorder="1" applyAlignment="1">
      <alignment horizontal="center" vertical="center" wrapText="1"/>
    </xf>
    <xf numFmtId="0" fontId="5" fillId="38" borderId="0" xfId="0" applyFont="1" applyFill="1"/>
    <xf numFmtId="0" fontId="35" fillId="5" borderId="0" xfId="0" applyFont="1" applyFill="1"/>
    <xf numFmtId="0" fontId="35" fillId="15" borderId="1" xfId="0" applyNumberFormat="1" applyFont="1" applyFill="1" applyBorder="1" applyAlignment="1">
      <alignment horizontal="center" vertical="center"/>
    </xf>
    <xf numFmtId="0" fontId="35" fillId="19" borderId="1" xfId="0" applyNumberFormat="1" applyFont="1" applyFill="1" applyBorder="1" applyAlignment="1">
      <alignment horizontal="left"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2" fontId="35" fillId="2" borderId="1" xfId="0" applyNumberFormat="1" applyFont="1" applyFill="1" applyBorder="1" applyAlignment="1">
      <alignment horizontal="center" vertical="center"/>
    </xf>
    <xf numFmtId="2" fontId="35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7" fillId="0" borderId="0" xfId="0" applyFont="1"/>
    <xf numFmtId="0" fontId="35" fillId="0" borderId="0" xfId="0" applyFont="1"/>
    <xf numFmtId="0" fontId="35" fillId="38" borderId="0" xfId="0" applyFont="1" applyFill="1"/>
    <xf numFmtId="0" fontId="35" fillId="38" borderId="1" xfId="0" applyNumberFormat="1" applyFont="1" applyFill="1" applyBorder="1" applyAlignment="1">
      <alignment horizontal="center" vertical="center"/>
    </xf>
    <xf numFmtId="0" fontId="35" fillId="38" borderId="1" xfId="0" applyNumberFormat="1" applyFont="1" applyFill="1" applyBorder="1" applyAlignment="1">
      <alignment horizontal="left" vertical="center" wrapText="1"/>
    </xf>
    <xf numFmtId="49" fontId="36" fillId="38" borderId="1" xfId="0" applyNumberFormat="1" applyFont="1" applyFill="1" applyBorder="1" applyAlignment="1">
      <alignment horizontal="center" vertical="center" wrapText="1"/>
    </xf>
    <xf numFmtId="2" fontId="35" fillId="38" borderId="1" xfId="0" applyNumberFormat="1" applyFont="1" applyFill="1" applyBorder="1" applyAlignment="1">
      <alignment horizontal="center" vertical="center"/>
    </xf>
    <xf numFmtId="2" fontId="35" fillId="38" borderId="1" xfId="0" applyNumberFormat="1" applyFont="1" applyFill="1" applyBorder="1" applyAlignment="1">
      <alignment horizontal="center" vertical="center" wrapText="1"/>
    </xf>
    <xf numFmtId="0" fontId="35" fillId="38" borderId="1" xfId="0" applyFont="1" applyFill="1" applyBorder="1" applyAlignment="1">
      <alignment horizontal="center" vertical="center" wrapText="1"/>
    </xf>
    <xf numFmtId="0" fontId="37" fillId="38" borderId="0" xfId="0" applyFont="1" applyFill="1"/>
    <xf numFmtId="0" fontId="35" fillId="2" borderId="0" xfId="0" applyFont="1" applyFill="1"/>
    <xf numFmtId="0" fontId="38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8" fillId="38" borderId="1" xfId="0" applyFont="1" applyFill="1" applyBorder="1" applyAlignment="1">
      <alignment horizontal="center" vertical="center"/>
    </xf>
    <xf numFmtId="0" fontId="35" fillId="38" borderId="1" xfId="0" applyFont="1" applyFill="1" applyBorder="1" applyAlignment="1">
      <alignment horizontal="center"/>
    </xf>
    <xf numFmtId="0" fontId="35" fillId="2" borderId="1" xfId="0" applyNumberFormat="1" applyFont="1" applyFill="1" applyBorder="1" applyAlignment="1">
      <alignment horizontal="left" vertical="center" wrapText="1"/>
    </xf>
    <xf numFmtId="0" fontId="37" fillId="2" borderId="0" xfId="0" applyFont="1" applyFill="1"/>
    <xf numFmtId="2" fontId="15" fillId="23" borderId="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vertical="center" wrapText="1"/>
    </xf>
    <xf numFmtId="49" fontId="15" fillId="2" borderId="8" xfId="0" applyNumberFormat="1" applyFont="1" applyFill="1" applyBorder="1" applyAlignment="1">
      <alignment horizontal="right" vertical="center" wrapText="1"/>
    </xf>
    <xf numFmtId="49" fontId="19" fillId="23" borderId="1" xfId="0" applyNumberFormat="1" applyFont="1" applyFill="1" applyBorder="1" applyAlignment="1">
      <alignment vertical="center" wrapText="1"/>
    </xf>
    <xf numFmtId="49" fontId="19" fillId="15" borderId="9" xfId="0" applyNumberFormat="1" applyFont="1" applyFill="1" applyBorder="1" applyAlignment="1">
      <alignment vertical="center" wrapText="1"/>
    </xf>
    <xf numFmtId="0" fontId="15" fillId="0" borderId="9" xfId="0" applyFont="1" applyBorder="1" applyAlignment="1">
      <alignment wrapText="1"/>
    </xf>
    <xf numFmtId="49" fontId="19" fillId="23" borderId="9" xfId="0" applyNumberFormat="1" applyFont="1" applyFill="1" applyBorder="1" applyAlignment="1">
      <alignment vertical="center" wrapText="1"/>
    </xf>
    <xf numFmtId="49" fontId="19" fillId="2" borderId="0" xfId="0" applyNumberFormat="1" applyFont="1" applyFill="1" applyBorder="1" applyAlignment="1">
      <alignment vertical="center" wrapText="1"/>
    </xf>
    <xf numFmtId="0" fontId="15" fillId="15" borderId="1" xfId="0" applyFont="1" applyFill="1" applyBorder="1" applyAlignment="1">
      <alignment wrapText="1"/>
    </xf>
    <xf numFmtId="49" fontId="20" fillId="2" borderId="1" xfId="0" applyNumberFormat="1" applyFont="1" applyFill="1" applyBorder="1" applyAlignment="1">
      <alignment vertical="center" wrapText="1"/>
    </xf>
    <xf numFmtId="49" fontId="19" fillId="16" borderId="9" xfId="0" applyNumberFormat="1" applyFont="1" applyFill="1" applyBorder="1" applyAlignment="1">
      <alignment vertical="center" wrapText="1"/>
    </xf>
    <xf numFmtId="0" fontId="29" fillId="15" borderId="1" xfId="0" applyNumberFormat="1" applyFont="1" applyFill="1" applyBorder="1" applyAlignment="1">
      <alignment horizontal="center" vertical="center"/>
    </xf>
    <xf numFmtId="0" fontId="29" fillId="12" borderId="1" xfId="0" applyNumberFormat="1" applyFont="1" applyFill="1" applyBorder="1" applyAlignment="1">
      <alignment horizontal="center" vertical="center"/>
    </xf>
    <xf numFmtId="0" fontId="29" fillId="23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horizontal="center" vertical="center"/>
    </xf>
    <xf numFmtId="0" fontId="29" fillId="16" borderId="1" xfId="0" applyNumberFormat="1" applyFont="1" applyFill="1" applyBorder="1" applyAlignment="1">
      <alignment horizontal="center" vertical="center"/>
    </xf>
    <xf numFmtId="49" fontId="15" fillId="2" borderId="18" xfId="0" applyNumberFormat="1" applyFont="1" applyFill="1" applyBorder="1" applyAlignment="1">
      <alignment horizontal="left" vertical="center"/>
    </xf>
    <xf numFmtId="2" fontId="15" fillId="0" borderId="21" xfId="0" applyNumberFormat="1" applyFont="1" applyFill="1" applyBorder="1" applyAlignment="1">
      <alignment horizontal="center" vertical="center"/>
    </xf>
    <xf numFmtId="2" fontId="15" fillId="0" borderId="20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left" vertical="center"/>
    </xf>
    <xf numFmtId="49" fontId="15" fillId="23" borderId="18" xfId="0" applyNumberFormat="1" applyFont="1" applyFill="1" applyBorder="1" applyAlignment="1">
      <alignment horizontal="left" vertical="center"/>
    </xf>
    <xf numFmtId="49" fontId="15" fillId="0" borderId="18" xfId="0" applyNumberFormat="1" applyFont="1" applyFill="1" applyBorder="1" applyAlignment="1">
      <alignment horizontal="left" vertical="center"/>
    </xf>
    <xf numFmtId="2" fontId="15" fillId="2" borderId="18" xfId="0" applyNumberFormat="1" applyFont="1" applyFill="1" applyBorder="1" applyAlignment="1">
      <alignment horizontal="left" vertical="center"/>
    </xf>
    <xf numFmtId="2" fontId="15" fillId="23" borderId="18" xfId="0" applyNumberFormat="1" applyFont="1" applyFill="1" applyBorder="1" applyAlignment="1">
      <alignment horizontal="left" vertical="center"/>
    </xf>
    <xf numFmtId="49" fontId="15" fillId="2" borderId="0" xfId="0" applyNumberFormat="1" applyFont="1" applyFill="1" applyBorder="1" applyAlignment="1">
      <alignment horizontal="left" vertical="center"/>
    </xf>
    <xf numFmtId="2" fontId="15" fillId="0" borderId="18" xfId="0" applyNumberFormat="1" applyFont="1" applyFill="1" applyBorder="1" applyAlignment="1">
      <alignment horizontal="left" vertical="center"/>
    </xf>
    <xf numFmtId="1" fontId="15" fillId="0" borderId="20" xfId="0" applyNumberFormat="1" applyFont="1" applyFill="1" applyBorder="1" applyAlignment="1">
      <alignment horizontal="left" vertical="center"/>
    </xf>
    <xf numFmtId="0" fontId="15" fillId="2" borderId="18" xfId="0" applyNumberFormat="1" applyFont="1" applyFill="1" applyBorder="1" applyAlignment="1">
      <alignment horizontal="left" vertical="center"/>
    </xf>
    <xf numFmtId="0" fontId="15" fillId="23" borderId="18" xfId="0" applyNumberFormat="1" applyFont="1" applyFill="1" applyBorder="1" applyAlignment="1">
      <alignment horizontal="left" vertical="center"/>
    </xf>
    <xf numFmtId="0" fontId="15" fillId="15" borderId="18" xfId="0" applyNumberFormat="1" applyFont="1" applyFill="1" applyBorder="1" applyAlignment="1">
      <alignment horizontal="left" vertical="center"/>
    </xf>
    <xf numFmtId="2" fontId="15" fillId="15" borderId="18" xfId="0" applyNumberFormat="1" applyFont="1" applyFill="1" applyBorder="1" applyAlignment="1">
      <alignment horizontal="left" vertical="center"/>
    </xf>
    <xf numFmtId="49" fontId="15" fillId="16" borderId="18" xfId="0" applyNumberFormat="1" applyFont="1" applyFill="1" applyBorder="1" applyAlignment="1">
      <alignment horizontal="left" vertical="center"/>
    </xf>
    <xf numFmtId="49" fontId="20" fillId="2" borderId="18" xfId="0" applyNumberFormat="1" applyFont="1" applyFill="1" applyBorder="1" applyAlignment="1">
      <alignment horizontal="left" vertical="center"/>
    </xf>
    <xf numFmtId="49" fontId="15" fillId="23" borderId="1" xfId="0" applyNumberFormat="1" applyFont="1" applyFill="1" applyBorder="1" applyAlignment="1">
      <alignment vertical="center"/>
    </xf>
    <xf numFmtId="2" fontId="15" fillId="23" borderId="21" xfId="0" applyNumberFormat="1" applyFont="1" applyFill="1" applyBorder="1" applyAlignment="1">
      <alignment horizontal="center" vertical="center"/>
    </xf>
    <xf numFmtId="1" fontId="15" fillId="23" borderId="20" xfId="0" applyNumberFormat="1" applyFont="1" applyFill="1" applyBorder="1" applyAlignment="1">
      <alignment horizontal="left" vertical="center"/>
    </xf>
    <xf numFmtId="49" fontId="15" fillId="23" borderId="21" xfId="0" applyNumberFormat="1" applyFont="1" applyFill="1" applyBorder="1" applyAlignment="1">
      <alignment horizontal="right" vertical="center" wrapText="1"/>
    </xf>
    <xf numFmtId="1" fontId="15" fillId="23" borderId="9" xfId="0" applyNumberFormat="1" applyFont="1" applyFill="1" applyBorder="1" applyAlignment="1">
      <alignment horizontal="left" vertical="center" wrapText="1"/>
    </xf>
    <xf numFmtId="2" fontId="15" fillId="2" borderId="21" xfId="0" applyNumberFormat="1" applyFont="1" applyFill="1" applyBorder="1" applyAlignment="1">
      <alignment horizontal="center" vertical="center"/>
    </xf>
    <xf numFmtId="2" fontId="15" fillId="2" borderId="20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right" vertical="center"/>
    </xf>
    <xf numFmtId="2" fontId="15" fillId="2" borderId="31" xfId="0" applyNumberFormat="1" applyFont="1" applyFill="1" applyBorder="1" applyAlignment="1">
      <alignment horizontal="left" vertical="center"/>
    </xf>
    <xf numFmtId="49" fontId="15" fillId="23" borderId="0" xfId="0" applyNumberFormat="1" applyFont="1" applyFill="1" applyBorder="1" applyAlignment="1">
      <alignment horizontal="left" vertical="center"/>
    </xf>
    <xf numFmtId="0" fontId="15" fillId="23" borderId="0" xfId="0" applyNumberFormat="1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vertical="center" wrapText="1"/>
    </xf>
    <xf numFmtId="1" fontId="29" fillId="15" borderId="1" xfId="0" applyNumberFormat="1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/>
    </xf>
    <xf numFmtId="49" fontId="15" fillId="23" borderId="0" xfId="0" applyNumberFormat="1" applyFont="1" applyFill="1" applyBorder="1" applyAlignment="1">
      <alignment horizontal="right" vertical="center"/>
    </xf>
    <xf numFmtId="0" fontId="16" fillId="0" borderId="0" xfId="0" applyFont="1" applyBorder="1"/>
    <xf numFmtId="0" fontId="29" fillId="0" borderId="1" xfId="0" applyNumberFormat="1" applyFont="1" applyFill="1" applyBorder="1" applyAlignment="1">
      <alignment horizontal="center" vertical="center" wrapText="1"/>
    </xf>
    <xf numFmtId="1" fontId="15" fillId="0" borderId="7" xfId="0" applyNumberFormat="1" applyFont="1" applyFill="1" applyBorder="1" applyAlignment="1">
      <alignment horizontal="left" vertical="center"/>
    </xf>
    <xf numFmtId="0" fontId="14" fillId="2" borderId="0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left" vertical="center" wrapText="1"/>
    </xf>
    <xf numFmtId="0" fontId="15" fillId="40" borderId="31" xfId="0" applyFont="1" applyFill="1" applyBorder="1" applyAlignment="1">
      <alignment vertical="center"/>
    </xf>
    <xf numFmtId="0" fontId="15" fillId="23" borderId="0" xfId="0" applyNumberFormat="1" applyFont="1" applyFill="1" applyBorder="1" applyAlignment="1">
      <alignment horizontal="left" vertical="center" wrapText="1"/>
    </xf>
    <xf numFmtId="0" fontId="15" fillId="2" borderId="5" xfId="0" applyNumberFormat="1" applyFont="1" applyFill="1" applyBorder="1" applyAlignment="1">
      <alignment horizontal="left" vertical="center" wrapText="1"/>
    </xf>
    <xf numFmtId="0" fontId="15" fillId="40" borderId="7" xfId="0" applyFont="1" applyFill="1" applyBorder="1" applyAlignment="1">
      <alignment vertical="center"/>
    </xf>
    <xf numFmtId="1" fontId="15" fillId="23" borderId="8" xfId="0" applyNumberFormat="1" applyFont="1" applyFill="1" applyBorder="1" applyAlignment="1">
      <alignment horizontal="right" vertical="center"/>
    </xf>
    <xf numFmtId="0" fontId="15" fillId="40" borderId="18" xfId="0" applyFont="1" applyFill="1" applyBorder="1" applyAlignment="1">
      <alignment vertical="center"/>
    </xf>
    <xf numFmtId="49" fontId="19" fillId="0" borderId="9" xfId="0" applyNumberFormat="1" applyFont="1" applyFill="1" applyBorder="1" applyAlignment="1">
      <alignment vertical="center" wrapText="1"/>
    </xf>
    <xf numFmtId="0" fontId="27" fillId="23" borderId="8" xfId="0" applyFont="1" applyFill="1" applyBorder="1" applyAlignment="1">
      <alignment vertical="center"/>
    </xf>
    <xf numFmtId="2" fontId="15" fillId="15" borderId="2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left" vertical="center"/>
    </xf>
    <xf numFmtId="2" fontId="15" fillId="2" borderId="0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vertical="center"/>
    </xf>
    <xf numFmtId="2" fontId="15" fillId="2" borderId="0" xfId="0" applyNumberFormat="1" applyFont="1" applyFill="1" applyBorder="1" applyAlignment="1">
      <alignment horizontal="left" vertical="center"/>
    </xf>
    <xf numFmtId="1" fontId="15" fillId="2" borderId="0" xfId="0" applyNumberFormat="1" applyFont="1" applyFill="1" applyBorder="1" applyAlignment="1">
      <alignment horizontal="right" vertical="center" wrapText="1"/>
    </xf>
    <xf numFmtId="1" fontId="15" fillId="2" borderId="0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right" vertical="center"/>
    </xf>
    <xf numFmtId="1" fontId="14" fillId="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right" vertical="center"/>
    </xf>
    <xf numFmtId="49" fontId="15" fillId="2" borderId="0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vertical="center"/>
    </xf>
    <xf numFmtId="0" fontId="15" fillId="15" borderId="0" xfId="0" applyNumberFormat="1" applyFont="1" applyFill="1" applyBorder="1" applyAlignment="1">
      <alignment vertical="center" wrapText="1"/>
    </xf>
    <xf numFmtId="0" fontId="15" fillId="40" borderId="0" xfId="0" applyNumberFormat="1" applyFont="1" applyFill="1" applyBorder="1" applyAlignment="1">
      <alignment vertical="center" wrapText="1"/>
    </xf>
    <xf numFmtId="0" fontId="29" fillId="15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horizontal="center" vertical="center"/>
    </xf>
    <xf numFmtId="2" fontId="13" fillId="0" borderId="7" xfId="0" applyNumberFormat="1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left" vertical="center"/>
    </xf>
    <xf numFmtId="2" fontId="13" fillId="0" borderId="14" xfId="0" applyNumberFormat="1" applyFont="1" applyFill="1" applyBorder="1" applyAlignment="1">
      <alignment vertical="center"/>
    </xf>
    <xf numFmtId="2" fontId="13" fillId="0" borderId="13" xfId="0" applyNumberFormat="1" applyFont="1" applyFill="1" applyBorder="1" applyAlignment="1">
      <alignment vertical="center"/>
    </xf>
    <xf numFmtId="2" fontId="15" fillId="0" borderId="8" xfId="0" applyNumberFormat="1" applyFont="1" applyFill="1" applyBorder="1" applyAlignment="1">
      <alignment horizontal="left" vertical="center"/>
    </xf>
    <xf numFmtId="1" fontId="15" fillId="2" borderId="0" xfId="0" applyNumberFormat="1" applyFont="1" applyFill="1" applyBorder="1" applyAlignment="1">
      <alignment horizontal="left" vertical="center"/>
    </xf>
    <xf numFmtId="2" fontId="13" fillId="0" borderId="7" xfId="0" applyNumberFormat="1" applyFont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1" fillId="2" borderId="18" xfId="0" applyNumberFormat="1" applyFont="1" applyFill="1" applyBorder="1" applyAlignment="1">
      <alignment vertical="center"/>
    </xf>
    <xf numFmtId="0" fontId="11" fillId="0" borderId="9" xfId="0" applyNumberFormat="1" applyFont="1" applyBorder="1" applyAlignment="1">
      <alignment vertical="center"/>
    </xf>
    <xf numFmtId="0" fontId="28" fillId="12" borderId="1" xfId="0" applyNumberFormat="1" applyFont="1" applyFill="1" applyBorder="1" applyAlignment="1">
      <alignment horizontal="center" vertical="center"/>
    </xf>
    <xf numFmtId="0" fontId="29" fillId="12" borderId="0" xfId="0" applyNumberFormat="1" applyFont="1" applyFill="1" applyBorder="1" applyAlignment="1">
      <alignment horizontal="center" vertical="center"/>
    </xf>
    <xf numFmtId="1" fontId="15" fillId="2" borderId="0" xfId="0" applyNumberFormat="1" applyFont="1" applyFill="1" applyBorder="1" applyAlignment="1">
      <alignment horizontal="center" vertical="center" wrapText="1"/>
    </xf>
    <xf numFmtId="1" fontId="29" fillId="15" borderId="0" xfId="0" applyNumberFormat="1" applyFont="1" applyFill="1" applyBorder="1" applyAlignment="1">
      <alignment horizontal="center" vertical="center"/>
    </xf>
    <xf numFmtId="2" fontId="15" fillId="23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49" fontId="11" fillId="2" borderId="8" xfId="0" applyNumberFormat="1" applyFont="1" applyFill="1" applyBorder="1" applyAlignment="1">
      <alignment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horizontal="center" vertical="center"/>
    </xf>
    <xf numFmtId="49" fontId="17" fillId="2" borderId="9" xfId="0" applyNumberFormat="1" applyFont="1" applyFill="1" applyBorder="1" applyAlignment="1">
      <alignment vertical="center"/>
    </xf>
    <xf numFmtId="0" fontId="23" fillId="4" borderId="1" xfId="0" applyNumberFormat="1" applyFont="1" applyFill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9" fillId="15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3" borderId="1" xfId="0" applyNumberFormat="1" applyFont="1" applyFill="1" applyBorder="1" applyAlignment="1">
      <alignment vertical="center" wrapText="1"/>
    </xf>
    <xf numFmtId="0" fontId="15" fillId="33" borderId="0" xfId="0" applyNumberFormat="1" applyFont="1" applyFill="1" applyBorder="1" applyAlignment="1">
      <alignment horizontal="left" vertical="center" wrapText="1"/>
    </xf>
    <xf numFmtId="1" fontId="11" fillId="2" borderId="7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1" fontId="11" fillId="0" borderId="14" xfId="0" applyNumberFormat="1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" fontId="12" fillId="2" borderId="1" xfId="0" applyNumberFormat="1" applyFont="1" applyFill="1" applyBorder="1" applyAlignment="1">
      <alignment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8" fillId="2" borderId="14" xfId="0" applyNumberFormat="1" applyFont="1" applyFill="1" applyBorder="1" applyAlignment="1">
      <alignment vertical="center"/>
    </xf>
    <xf numFmtId="2" fontId="18" fillId="2" borderId="13" xfId="0" applyNumberFormat="1" applyFont="1" applyFill="1" applyBorder="1" applyAlignment="1">
      <alignment horizontal="right" vertical="center"/>
    </xf>
    <xf numFmtId="0" fontId="18" fillId="2" borderId="14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3" xfId="0" applyFont="1" applyFill="1" applyBorder="1" applyAlignment="1">
      <alignment vertical="center"/>
    </xf>
    <xf numFmtId="2" fontId="12" fillId="2" borderId="8" xfId="0" applyNumberFormat="1" applyFont="1" applyFill="1" applyBorder="1" applyAlignment="1">
      <alignment horizontal="center" vertical="center"/>
    </xf>
    <xf numFmtId="2" fontId="13" fillId="2" borderId="24" xfId="0" applyNumberFormat="1" applyFont="1" applyFill="1" applyBorder="1" applyAlignment="1">
      <alignment horizontal="right" vertical="center"/>
    </xf>
    <xf numFmtId="1" fontId="14" fillId="2" borderId="19" xfId="0" applyNumberFormat="1" applyFont="1" applyFill="1" applyBorder="1" applyAlignment="1">
      <alignment horizontal="center" vertical="center" wrapText="1"/>
    </xf>
    <xf numFmtId="1" fontId="12" fillId="2" borderId="24" xfId="0" applyNumberFormat="1" applyFont="1" applyFill="1" applyBorder="1" applyAlignment="1">
      <alignment horizontal="center" vertical="center"/>
    </xf>
    <xf numFmtId="1" fontId="14" fillId="2" borderId="23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5" fillId="2" borderId="0" xfId="0" applyNumberFormat="1" applyFont="1" applyFill="1" applyBorder="1" applyAlignment="1">
      <alignment vertical="center"/>
    </xf>
    <xf numFmtId="49" fontId="11" fillId="0" borderId="18" xfId="0" applyNumberFormat="1" applyFont="1" applyBorder="1" applyAlignment="1">
      <alignment vertical="center"/>
    </xf>
    <xf numFmtId="0" fontId="11" fillId="0" borderId="20" xfId="0" applyNumberFormat="1" applyFont="1" applyBorder="1" applyAlignment="1">
      <alignment horizontal="right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31" xfId="0" applyNumberFormat="1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49" fontId="15" fillId="2" borderId="1" xfId="0" applyNumberFormat="1" applyFont="1" applyFill="1" applyBorder="1" applyAlignment="1">
      <alignment horizontal="left" vertical="center" wrapText="1"/>
    </xf>
    <xf numFmtId="0" fontId="25" fillId="15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right" vertical="center"/>
    </xf>
    <xf numFmtId="1" fontId="15" fillId="0" borderId="1" xfId="0" applyNumberFormat="1" applyFont="1" applyFill="1" applyBorder="1" applyAlignment="1">
      <alignment horizontal="left" vertical="center"/>
    </xf>
    <xf numFmtId="1" fontId="15" fillId="2" borderId="1" xfId="0" applyNumberFormat="1" applyFont="1" applyFill="1" applyBorder="1" applyAlignment="1">
      <alignment horizontal="left" vertical="center"/>
    </xf>
    <xf numFmtId="1" fontId="15" fillId="2" borderId="1" xfId="0" applyNumberFormat="1" applyFont="1" applyFill="1" applyBorder="1" applyAlignment="1">
      <alignment horizontal="right" vertical="center" wrapText="1"/>
    </xf>
    <xf numFmtId="1" fontId="15" fillId="2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/>
    </xf>
    <xf numFmtId="49" fontId="15" fillId="0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right" vertical="center" wrapText="1"/>
    </xf>
    <xf numFmtId="1" fontId="14" fillId="2" borderId="1" xfId="0" applyNumberFormat="1" applyFont="1" applyFill="1" applyBorder="1" applyAlignment="1">
      <alignment horizontal="right" vertical="center"/>
    </xf>
    <xf numFmtId="1" fontId="14" fillId="2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righ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15" borderId="1" xfId="0" applyNumberFormat="1" applyFont="1" applyFill="1" applyBorder="1" applyAlignment="1">
      <alignment horizontal="center" vertical="center" wrapText="1"/>
    </xf>
    <xf numFmtId="49" fontId="15" fillId="15" borderId="1" xfId="0" applyNumberFormat="1" applyFont="1" applyFill="1" applyBorder="1" applyAlignment="1">
      <alignment horizontal="center" vertical="center"/>
    </xf>
    <xf numFmtId="49" fontId="15" fillId="23" borderId="1" xfId="0" applyNumberFormat="1" applyFont="1" applyFill="1" applyBorder="1" applyAlignment="1">
      <alignment horizontal="center" vertical="center" wrapText="1"/>
    </xf>
    <xf numFmtId="49" fontId="15" fillId="23" borderId="1" xfId="0" applyNumberFormat="1" applyFont="1" applyFill="1" applyBorder="1" applyAlignment="1">
      <alignment horizontal="left" vertical="center" wrapText="1"/>
    </xf>
    <xf numFmtId="0" fontId="25" fillId="23" borderId="1" xfId="0" applyNumberFormat="1" applyFont="1" applyFill="1" applyBorder="1" applyAlignment="1">
      <alignment horizontal="left" vertical="center" wrapText="1"/>
    </xf>
    <xf numFmtId="0" fontId="15" fillId="16" borderId="1" xfId="0" applyNumberFormat="1" applyFont="1" applyFill="1" applyBorder="1" applyAlignment="1">
      <alignment horizontal="right" vertical="center" wrapText="1"/>
    </xf>
    <xf numFmtId="0" fontId="15" fillId="39" borderId="1" xfId="0" applyNumberFormat="1" applyFont="1" applyFill="1" applyBorder="1" applyAlignment="1">
      <alignment vertical="center" wrapText="1"/>
    </xf>
    <xf numFmtId="0" fontId="15" fillId="0" borderId="12" xfId="0" applyNumberFormat="1" applyFont="1" applyFill="1" applyBorder="1" applyAlignment="1">
      <alignment horizontal="left" vertical="center" wrapText="1"/>
    </xf>
    <xf numFmtId="0" fontId="15" fillId="2" borderId="12" xfId="0" applyNumberFormat="1" applyFont="1" applyFill="1" applyBorder="1" applyAlignment="1">
      <alignment horizontal="left" vertical="center" wrapText="1"/>
    </xf>
    <xf numFmtId="0" fontId="15" fillId="2" borderId="12" xfId="0" applyNumberFormat="1" applyFont="1" applyFill="1" applyBorder="1" applyAlignment="1">
      <alignment vertical="center" wrapText="1"/>
    </xf>
    <xf numFmtId="0" fontId="15" fillId="23" borderId="12" xfId="0" applyNumberFormat="1" applyFont="1" applyFill="1" applyBorder="1" applyAlignment="1">
      <alignment horizontal="left" vertical="center"/>
    </xf>
    <xf numFmtId="0" fontId="15" fillId="40" borderId="1" xfId="0" applyNumberFormat="1" applyFont="1" applyFill="1" applyBorder="1" applyAlignment="1">
      <alignment vertical="center" wrapText="1"/>
    </xf>
    <xf numFmtId="0" fontId="15" fillId="2" borderId="8" xfId="0" applyNumberFormat="1" applyFont="1" applyFill="1" applyBorder="1" applyAlignment="1">
      <alignment horizontal="right" vertical="center"/>
    </xf>
    <xf numFmtId="2" fontId="15" fillId="16" borderId="8" xfId="0" applyNumberFormat="1" applyFont="1" applyFill="1" applyBorder="1" applyAlignment="1">
      <alignment horizontal="left" vertical="center"/>
    </xf>
    <xf numFmtId="0" fontId="15" fillId="15" borderId="1" xfId="0" applyNumberFormat="1" applyFont="1" applyFill="1" applyBorder="1" applyAlignment="1">
      <alignment horizontal="center" vertical="center" wrapText="1"/>
    </xf>
    <xf numFmtId="0" fontId="15" fillId="15" borderId="1" xfId="0" applyNumberFormat="1" applyFont="1" applyFill="1" applyBorder="1" applyAlignment="1">
      <alignment horizontal="left" vertical="center" wrapText="1"/>
    </xf>
    <xf numFmtId="0" fontId="15" fillId="15" borderId="13" xfId="0" applyNumberFormat="1" applyFont="1" applyFill="1" applyBorder="1" applyAlignment="1">
      <alignment horizontal="center" vertical="center" wrapText="1"/>
    </xf>
    <xf numFmtId="1" fontId="15" fillId="15" borderId="1" xfId="0" applyNumberFormat="1" applyFont="1" applyFill="1" applyBorder="1" applyAlignment="1">
      <alignment horizontal="center" vertical="center"/>
    </xf>
    <xf numFmtId="2" fontId="15" fillId="15" borderId="1" xfId="0" applyNumberFormat="1" applyFont="1" applyFill="1" applyBorder="1" applyAlignment="1">
      <alignment horizontal="center" vertical="center"/>
    </xf>
    <xf numFmtId="49" fontId="15" fillId="15" borderId="21" xfId="0" applyNumberFormat="1" applyFont="1" applyFill="1" applyBorder="1" applyAlignment="1">
      <alignment horizontal="right" vertical="center"/>
    </xf>
    <xf numFmtId="49" fontId="15" fillId="15" borderId="18" xfId="0" applyNumberFormat="1" applyFont="1" applyFill="1" applyBorder="1" applyAlignment="1">
      <alignment horizontal="center" vertical="center"/>
    </xf>
    <xf numFmtId="1" fontId="15" fillId="15" borderId="1" xfId="0" applyNumberFormat="1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/>
    </xf>
    <xf numFmtId="1" fontId="15" fillId="15" borderId="8" xfId="0" applyNumberFormat="1" applyFont="1" applyFill="1" applyBorder="1" applyAlignment="1">
      <alignment horizontal="right" vertical="center" wrapText="1"/>
    </xf>
    <xf numFmtId="1" fontId="15" fillId="15" borderId="7" xfId="0" applyNumberFormat="1" applyFont="1" applyFill="1" applyBorder="1" applyAlignment="1">
      <alignment horizontal="right" vertical="center" wrapText="1"/>
    </xf>
    <xf numFmtId="0" fontId="14" fillId="15" borderId="1" xfId="0" applyNumberFormat="1" applyFont="1" applyFill="1" applyBorder="1" applyAlignment="1">
      <alignment horizontal="center" vertical="center" wrapText="1"/>
    </xf>
    <xf numFmtId="1" fontId="15" fillId="15" borderId="7" xfId="0" applyNumberFormat="1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vertical="center"/>
    </xf>
    <xf numFmtId="0" fontId="15" fillId="15" borderId="1" xfId="0" applyNumberFormat="1" applyFont="1" applyFill="1" applyBorder="1" applyAlignment="1">
      <alignment horizontal="center" vertical="center"/>
    </xf>
    <xf numFmtId="0" fontId="15" fillId="15" borderId="14" xfId="0" applyNumberFormat="1" applyFont="1" applyFill="1" applyBorder="1" applyAlignment="1">
      <alignment horizontal="center" vertical="center"/>
    </xf>
    <xf numFmtId="0" fontId="15" fillId="15" borderId="15" xfId="0" applyNumberFormat="1" applyFont="1" applyFill="1" applyBorder="1" applyAlignment="1">
      <alignment horizontal="center" vertical="center" wrapText="1"/>
    </xf>
    <xf numFmtId="0" fontId="15" fillId="15" borderId="13" xfId="0" applyNumberFormat="1" applyFont="1" applyFill="1" applyBorder="1" applyAlignment="1">
      <alignment horizontal="center" vertical="center"/>
    </xf>
    <xf numFmtId="1" fontId="14" fillId="15" borderId="7" xfId="0" applyNumberFormat="1" applyFont="1" applyFill="1" applyBorder="1" applyAlignment="1">
      <alignment horizontal="right" vertical="center"/>
    </xf>
    <xf numFmtId="0" fontId="15" fillId="15" borderId="14" xfId="0" applyFont="1" applyFill="1" applyBorder="1" applyAlignment="1">
      <alignment vertical="center"/>
    </xf>
    <xf numFmtId="0" fontId="15" fillId="15" borderId="13" xfId="0" applyFont="1" applyFill="1" applyBorder="1" applyAlignment="1">
      <alignment vertical="center"/>
    </xf>
    <xf numFmtId="1" fontId="14" fillId="15" borderId="8" xfId="0" applyNumberFormat="1" applyFont="1" applyFill="1" applyBorder="1" applyAlignment="1">
      <alignment horizontal="center" vertical="center"/>
    </xf>
    <xf numFmtId="1" fontId="14" fillId="15" borderId="24" xfId="0" applyNumberFormat="1" applyFont="1" applyFill="1" applyBorder="1" applyAlignment="1">
      <alignment horizontal="center" vertical="center" wrapText="1"/>
    </xf>
    <xf numFmtId="0" fontId="15" fillId="15" borderId="9" xfId="0" applyNumberFormat="1" applyFont="1" applyFill="1" applyBorder="1" applyAlignment="1">
      <alignment horizontal="center" vertical="center"/>
    </xf>
    <xf numFmtId="0" fontId="15" fillId="15" borderId="1" xfId="0" applyNumberFormat="1" applyFont="1" applyFill="1" applyBorder="1" applyAlignment="1">
      <alignment horizontal="left" vertical="center"/>
    </xf>
    <xf numFmtId="0" fontId="15" fillId="15" borderId="1" xfId="0" applyNumberFormat="1" applyFont="1" applyFill="1" applyBorder="1" applyAlignment="1">
      <alignment vertical="center"/>
    </xf>
    <xf numFmtId="0" fontId="15" fillId="15" borderId="9" xfId="0" applyNumberFormat="1" applyFont="1" applyFill="1" applyBorder="1" applyAlignment="1">
      <alignment horizontal="left" vertical="center" wrapText="1"/>
    </xf>
    <xf numFmtId="0" fontId="15" fillId="15" borderId="20" xfId="0" applyNumberFormat="1" applyFont="1" applyFill="1" applyBorder="1" applyAlignment="1">
      <alignment horizontal="right" vertical="center" wrapText="1"/>
    </xf>
    <xf numFmtId="0" fontId="15" fillId="15" borderId="31" xfId="0" applyNumberFormat="1" applyFont="1" applyFill="1" applyBorder="1" applyAlignment="1">
      <alignment horizontal="center" vertical="center" wrapText="1"/>
    </xf>
    <xf numFmtId="1" fontId="14" fillId="15" borderId="1" xfId="0" applyNumberFormat="1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vertical="center"/>
    </xf>
    <xf numFmtId="0" fontId="15" fillId="15" borderId="20" xfId="0" applyNumberFormat="1" applyFont="1" applyFill="1" applyBorder="1" applyAlignment="1">
      <alignment horizontal="left" vertical="center" wrapText="1"/>
    </xf>
    <xf numFmtId="0" fontId="15" fillId="15" borderId="8" xfId="0" applyNumberFormat="1" applyFont="1" applyFill="1" applyBorder="1" applyAlignment="1">
      <alignment horizontal="center" vertical="center" wrapText="1"/>
    </xf>
    <xf numFmtId="49" fontId="15" fillId="15" borderId="9" xfId="0" applyNumberFormat="1" applyFont="1" applyFill="1" applyBorder="1" applyAlignment="1">
      <alignment vertical="center"/>
    </xf>
    <xf numFmtId="2" fontId="14" fillId="15" borderId="1" xfId="0" applyNumberFormat="1" applyFont="1" applyFill="1" applyBorder="1" applyAlignment="1">
      <alignment horizontal="center" vertical="center"/>
    </xf>
    <xf numFmtId="49" fontId="15" fillId="15" borderId="32" xfId="0" applyNumberFormat="1" applyFont="1" applyFill="1" applyBorder="1" applyAlignment="1">
      <alignment horizontal="center" vertical="center" wrapText="1"/>
    </xf>
    <xf numFmtId="1" fontId="15" fillId="15" borderId="8" xfId="0" applyNumberFormat="1" applyFont="1" applyFill="1" applyBorder="1" applyAlignment="1">
      <alignment horizontal="left" vertical="center" wrapText="1"/>
    </xf>
    <xf numFmtId="49" fontId="15" fillId="15" borderId="18" xfId="0" applyNumberFormat="1" applyFont="1" applyFill="1" applyBorder="1" applyAlignment="1">
      <alignment horizontal="left" vertical="center"/>
    </xf>
    <xf numFmtId="2" fontId="15" fillId="0" borderId="18" xfId="0" quotePrefix="1" applyNumberFormat="1" applyFont="1" applyFill="1" applyBorder="1" applyAlignment="1">
      <alignment horizontal="center" vertical="center"/>
    </xf>
    <xf numFmtId="49" fontId="19" fillId="23" borderId="0" xfId="0" applyNumberFormat="1" applyFont="1" applyFill="1" applyBorder="1" applyAlignment="1">
      <alignment vertical="center" wrapText="1"/>
    </xf>
    <xf numFmtId="49" fontId="20" fillId="2" borderId="0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center" vertical="center"/>
    </xf>
    <xf numFmtId="2" fontId="15" fillId="0" borderId="1" xfId="0" quotePrefix="1" applyNumberFormat="1" applyFont="1" applyFill="1" applyBorder="1" applyAlignment="1">
      <alignment horizontal="center" vertical="center"/>
    </xf>
    <xf numFmtId="49" fontId="19" fillId="2" borderId="13" xfId="0" applyNumberFormat="1" applyFont="1" applyFill="1" applyBorder="1" applyAlignment="1">
      <alignment vertical="center" wrapText="1"/>
    </xf>
    <xf numFmtId="1" fontId="15" fillId="0" borderId="18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vertical="center"/>
    </xf>
    <xf numFmtId="0" fontId="25" fillId="0" borderId="1" xfId="0" applyNumberFormat="1" applyFont="1" applyFill="1" applyBorder="1" applyAlignment="1">
      <alignment horizontal="left" vertical="center" wrapText="1"/>
    </xf>
    <xf numFmtId="1" fontId="15" fillId="0" borderId="18" xfId="0" applyNumberFormat="1" applyFont="1" applyFill="1" applyBorder="1" applyAlignment="1">
      <alignment horizontal="left" vertical="center"/>
    </xf>
    <xf numFmtId="1" fontId="15" fillId="0" borderId="21" xfId="0" applyNumberFormat="1" applyFont="1" applyFill="1" applyBorder="1" applyAlignment="1">
      <alignment horizontal="center" vertical="center"/>
    </xf>
    <xf numFmtId="0" fontId="41" fillId="2" borderId="1" xfId="0" applyNumberFormat="1" applyFont="1" applyFill="1" applyBorder="1" applyAlignment="1">
      <alignment horizontal="left" vertical="center" wrapText="1"/>
    </xf>
    <xf numFmtId="0" fontId="41" fillId="2" borderId="1" xfId="0" applyNumberFormat="1" applyFont="1" applyFill="1" applyBorder="1" applyAlignment="1">
      <alignment horizontal="center" vertical="center" wrapText="1"/>
    </xf>
    <xf numFmtId="0" fontId="41" fillId="2" borderId="1" xfId="0" applyNumberFormat="1" applyFont="1" applyFill="1" applyBorder="1" applyAlignment="1">
      <alignment vertical="center"/>
    </xf>
    <xf numFmtId="0" fontId="41" fillId="2" borderId="1" xfId="0" applyNumberFormat="1" applyFont="1" applyFill="1" applyBorder="1" applyAlignment="1">
      <alignment horizontal="center" vertical="center"/>
    </xf>
    <xf numFmtId="0" fontId="41" fillId="2" borderId="1" xfId="0" applyNumberFormat="1" applyFont="1" applyFill="1" applyBorder="1" applyAlignment="1">
      <alignment horizontal="left" vertical="center"/>
    </xf>
    <xf numFmtId="0" fontId="42" fillId="2" borderId="1" xfId="0" applyNumberFormat="1" applyFont="1" applyFill="1" applyBorder="1" applyAlignment="1">
      <alignment horizontal="center" vertical="center" wrapText="1"/>
    </xf>
    <xf numFmtId="1" fontId="42" fillId="2" borderId="1" xfId="0" applyNumberFormat="1" applyFont="1" applyFill="1" applyBorder="1" applyAlignment="1">
      <alignment horizontal="center" vertical="center"/>
    </xf>
    <xf numFmtId="1" fontId="41" fillId="2" borderId="1" xfId="0" applyNumberFormat="1" applyFont="1" applyFill="1" applyBorder="1" applyAlignment="1">
      <alignment horizontal="center" vertical="center" wrapText="1"/>
    </xf>
    <xf numFmtId="1" fontId="41" fillId="2" borderId="1" xfId="0" applyNumberFormat="1" applyFont="1" applyFill="1" applyBorder="1" applyAlignment="1">
      <alignment horizontal="center" vertical="center"/>
    </xf>
    <xf numFmtId="0" fontId="41" fillId="2" borderId="0" xfId="0" applyNumberFormat="1" applyFont="1" applyFill="1" applyBorder="1" applyAlignment="1">
      <alignment horizontal="center" vertical="center" wrapText="1"/>
    </xf>
    <xf numFmtId="0" fontId="42" fillId="0" borderId="0" xfId="1" applyFont="1" applyAlignment="1"/>
    <xf numFmtId="0" fontId="41" fillId="0" borderId="0" xfId="1" applyFont="1"/>
    <xf numFmtId="0" fontId="41" fillId="0" borderId="0" xfId="1" applyFont="1" applyBorder="1"/>
    <xf numFmtId="0" fontId="41" fillId="0" borderId="0" xfId="1" applyFont="1" applyAlignment="1">
      <alignment horizontal="left"/>
    </xf>
    <xf numFmtId="0" fontId="41" fillId="0" borderId="0" xfId="1" applyFont="1" applyAlignment="1">
      <alignment wrapText="1"/>
    </xf>
    <xf numFmtId="0" fontId="41" fillId="15" borderId="0" xfId="1" applyFont="1" applyFill="1" applyAlignment="1">
      <alignment horizontal="left"/>
    </xf>
    <xf numFmtId="0" fontId="41" fillId="0" borderId="0" xfId="1" applyFont="1" applyAlignment="1">
      <alignment horizontal="left" wrapText="1"/>
    </xf>
    <xf numFmtId="0" fontId="41" fillId="0" borderId="0" xfId="1" applyFont="1" applyAlignment="1">
      <alignment horizontal="right"/>
    </xf>
    <xf numFmtId="0" fontId="41" fillId="0" borderId="0" xfId="1" applyFont="1" applyBorder="1" applyAlignment="1">
      <alignment vertical="center"/>
    </xf>
    <xf numFmtId="0" fontId="41" fillId="2" borderId="1" xfId="1" applyNumberFormat="1" applyFont="1" applyFill="1" applyBorder="1" applyAlignment="1">
      <alignment horizontal="center" vertical="center" wrapText="1"/>
    </xf>
    <xf numFmtId="0" fontId="44" fillId="15" borderId="1" xfId="1" applyNumberFormat="1" applyFont="1" applyFill="1" applyBorder="1" applyAlignment="1">
      <alignment horizontal="center" vertical="center" wrapText="1"/>
    </xf>
    <xf numFmtId="0" fontId="41" fillId="2" borderId="1" xfId="1" applyNumberFormat="1" applyFont="1" applyFill="1" applyBorder="1" applyAlignment="1">
      <alignment horizontal="left" vertical="center" wrapText="1"/>
    </xf>
    <xf numFmtId="49" fontId="41" fillId="2" borderId="21" xfId="1" applyNumberFormat="1" applyFont="1" applyFill="1" applyBorder="1" applyAlignment="1">
      <alignment horizontal="center" vertical="center" wrapText="1"/>
    </xf>
    <xf numFmtId="49" fontId="41" fillId="2" borderId="18" xfId="1" applyNumberFormat="1" applyFont="1" applyFill="1" applyBorder="1" applyAlignment="1">
      <alignment horizontal="left" vertical="center" wrapText="1"/>
    </xf>
    <xf numFmtId="49" fontId="41" fillId="2" borderId="18" xfId="1" applyNumberFormat="1" applyFont="1" applyFill="1" applyBorder="1" applyAlignment="1">
      <alignment horizontal="center" vertical="center" wrapText="1"/>
    </xf>
    <xf numFmtId="0" fontId="41" fillId="2" borderId="20" xfId="1" applyNumberFormat="1" applyFont="1" applyFill="1" applyBorder="1" applyAlignment="1">
      <alignment horizontal="left" vertical="center" wrapText="1"/>
    </xf>
    <xf numFmtId="2" fontId="41" fillId="15" borderId="1" xfId="1" applyNumberFormat="1" applyFont="1" applyFill="1" applyBorder="1" applyAlignment="1">
      <alignment horizontal="left" vertical="center"/>
    </xf>
    <xf numFmtId="1" fontId="41" fillId="15" borderId="9" xfId="1" applyNumberFormat="1" applyFont="1" applyFill="1" applyBorder="1" applyAlignment="1">
      <alignment horizontal="center" vertical="center"/>
    </xf>
    <xf numFmtId="49" fontId="41" fillId="15" borderId="1" xfId="1" applyNumberFormat="1" applyFont="1" applyFill="1" applyBorder="1" applyAlignment="1">
      <alignment vertical="center"/>
    </xf>
    <xf numFmtId="0" fontId="48" fillId="15" borderId="13" xfId="1" applyNumberFormat="1" applyFont="1" applyFill="1" applyBorder="1" applyAlignment="1">
      <alignment horizontal="left" vertical="center" wrapText="1"/>
    </xf>
    <xf numFmtId="0" fontId="41" fillId="2" borderId="7" xfId="1" applyNumberFormat="1" applyFont="1" applyFill="1" applyBorder="1" applyAlignment="1">
      <alignment horizontal="left" vertical="center" wrapText="1"/>
    </xf>
    <xf numFmtId="0" fontId="44" fillId="15" borderId="13" xfId="1" applyNumberFormat="1" applyFont="1" applyFill="1" applyBorder="1" applyAlignment="1">
      <alignment horizontal="center" vertical="center" wrapText="1"/>
    </xf>
    <xf numFmtId="2" fontId="41" fillId="2" borderId="29" xfId="1" applyNumberFormat="1" applyFont="1" applyFill="1" applyBorder="1" applyAlignment="1">
      <alignment horizontal="center" vertical="center"/>
    </xf>
    <xf numFmtId="2" fontId="41" fillId="2" borderId="30" xfId="1" applyNumberFormat="1" applyFont="1" applyFill="1" applyBorder="1" applyAlignment="1">
      <alignment vertical="center"/>
    </xf>
    <xf numFmtId="0" fontId="50" fillId="0" borderId="1" xfId="1" applyFont="1" applyFill="1" applyBorder="1" applyAlignment="1">
      <alignment vertical="center"/>
    </xf>
    <xf numFmtId="1" fontId="41" fillId="2" borderId="1" xfId="1" applyNumberFormat="1" applyFont="1" applyFill="1" applyBorder="1" applyAlignment="1">
      <alignment horizontal="center" vertical="center"/>
    </xf>
    <xf numFmtId="0" fontId="41" fillId="2" borderId="7" xfId="1" applyNumberFormat="1" applyFont="1" applyFill="1" applyBorder="1" applyAlignment="1">
      <alignment horizontal="right" vertical="center"/>
    </xf>
    <xf numFmtId="0" fontId="41" fillId="2" borderId="18" xfId="1" applyNumberFormat="1" applyFont="1" applyFill="1" applyBorder="1" applyAlignment="1">
      <alignment horizontal="left" vertical="center"/>
    </xf>
    <xf numFmtId="0" fontId="41" fillId="2" borderId="20" xfId="1" applyNumberFormat="1" applyFont="1" applyFill="1" applyBorder="1" applyAlignment="1">
      <alignment horizontal="left" vertical="center"/>
    </xf>
    <xf numFmtId="2" fontId="41" fillId="0" borderId="1" xfId="1" applyNumberFormat="1" applyFont="1" applyFill="1" applyBorder="1" applyAlignment="1">
      <alignment horizontal="center" vertical="center"/>
    </xf>
    <xf numFmtId="2" fontId="41" fillId="0" borderId="7" xfId="1" applyNumberFormat="1" applyFont="1" applyFill="1" applyBorder="1" applyAlignment="1">
      <alignment horizontal="center" vertical="center"/>
    </xf>
    <xf numFmtId="2" fontId="41" fillId="0" borderId="21" xfId="1" applyNumberFormat="1" applyFont="1" applyFill="1" applyBorder="1" applyAlignment="1">
      <alignment horizontal="center" vertical="center"/>
    </xf>
    <xf numFmtId="2" fontId="41" fillId="0" borderId="18" xfId="1" applyNumberFormat="1" applyFont="1" applyFill="1" applyBorder="1" applyAlignment="1">
      <alignment horizontal="left" vertical="center"/>
    </xf>
    <xf numFmtId="2" fontId="41" fillId="0" borderId="18" xfId="1" applyNumberFormat="1" applyFont="1" applyFill="1" applyBorder="1" applyAlignment="1">
      <alignment horizontal="center" vertical="center"/>
    </xf>
    <xf numFmtId="1" fontId="41" fillId="0" borderId="20" xfId="1" applyNumberFormat="1" applyFont="1" applyFill="1" applyBorder="1" applyAlignment="1">
      <alignment horizontal="left" vertical="center"/>
    </xf>
    <xf numFmtId="0" fontId="42" fillId="7" borderId="14" xfId="1" applyFont="1" applyFill="1" applyBorder="1" applyAlignment="1">
      <alignment horizontal="center" vertical="center"/>
    </xf>
    <xf numFmtId="0" fontId="41" fillId="2" borderId="13" xfId="1" applyFont="1" applyFill="1" applyBorder="1" applyAlignment="1">
      <alignment horizontal="left" vertical="center"/>
    </xf>
    <xf numFmtId="1" fontId="41" fillId="2" borderId="7" xfId="1" applyNumberFormat="1" applyFont="1" applyFill="1" applyBorder="1" applyAlignment="1">
      <alignment horizontal="right" vertical="center"/>
    </xf>
    <xf numFmtId="2" fontId="41" fillId="2" borderId="18" xfId="1" applyNumberFormat="1" applyFont="1" applyFill="1" applyBorder="1" applyAlignment="1">
      <alignment horizontal="left" vertical="center"/>
    </xf>
    <xf numFmtId="1" fontId="41" fillId="2" borderId="31" xfId="1" applyNumberFormat="1" applyFont="1" applyFill="1" applyBorder="1" applyAlignment="1">
      <alignment horizontal="left" vertical="center"/>
    </xf>
    <xf numFmtId="2" fontId="41" fillId="2" borderId="1" xfId="1" applyNumberFormat="1" applyFont="1" applyFill="1" applyBorder="1" applyAlignment="1">
      <alignment horizontal="left" vertical="center"/>
    </xf>
    <xf numFmtId="2" fontId="41" fillId="2" borderId="7" xfId="1" applyNumberFormat="1" applyFont="1" applyFill="1" applyBorder="1" applyAlignment="1">
      <alignment horizontal="left" vertical="center"/>
    </xf>
    <xf numFmtId="49" fontId="41" fillId="2" borderId="21" xfId="1" applyNumberFormat="1" applyFont="1" applyFill="1" applyBorder="1" applyAlignment="1">
      <alignment horizontal="right" vertical="center"/>
    </xf>
    <xf numFmtId="49" fontId="41" fillId="2" borderId="18" xfId="1" applyNumberFormat="1" applyFont="1" applyFill="1" applyBorder="1" applyAlignment="1">
      <alignment horizontal="left" vertical="center"/>
    </xf>
    <xf numFmtId="49" fontId="41" fillId="2" borderId="18" xfId="1" applyNumberFormat="1" applyFont="1" applyFill="1" applyBorder="1" applyAlignment="1">
      <alignment horizontal="center" vertical="center"/>
    </xf>
    <xf numFmtId="0" fontId="41" fillId="2" borderId="8" xfId="1" applyNumberFormat="1" applyFont="1" applyFill="1" applyBorder="1" applyAlignment="1">
      <alignment horizontal="left" vertical="center" wrapText="1"/>
    </xf>
    <xf numFmtId="49" fontId="51" fillId="2" borderId="9" xfId="1" applyNumberFormat="1" applyFont="1" applyFill="1" applyBorder="1" applyAlignment="1">
      <alignment vertical="center" wrapText="1"/>
    </xf>
    <xf numFmtId="0" fontId="44" fillId="12" borderId="1" xfId="1" applyNumberFormat="1" applyFont="1" applyFill="1" applyBorder="1" applyAlignment="1">
      <alignment horizontal="center" vertical="center"/>
    </xf>
    <xf numFmtId="1" fontId="41" fillId="2" borderId="1" xfId="1" applyNumberFormat="1" applyFont="1" applyFill="1" applyBorder="1" applyAlignment="1">
      <alignment horizontal="center" vertical="center" wrapText="1"/>
    </xf>
    <xf numFmtId="1" fontId="44" fillId="15" borderId="1" xfId="1" applyNumberFormat="1" applyFont="1" applyFill="1" applyBorder="1" applyAlignment="1">
      <alignment horizontal="center" vertical="center"/>
    </xf>
    <xf numFmtId="2" fontId="41" fillId="2" borderId="1" xfId="1" applyNumberFormat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1" fontId="41" fillId="2" borderId="8" xfId="1" applyNumberFormat="1" applyFont="1" applyFill="1" applyBorder="1" applyAlignment="1">
      <alignment horizontal="right" vertical="center" wrapText="1"/>
    </xf>
    <xf numFmtId="49" fontId="41" fillId="2" borderId="21" xfId="1" applyNumberFormat="1" applyFont="1" applyFill="1" applyBorder="1" applyAlignment="1">
      <alignment horizontal="right" vertical="center" wrapText="1"/>
    </xf>
    <xf numFmtId="49" fontId="41" fillId="0" borderId="18" xfId="1" applyNumberFormat="1" applyFont="1" applyFill="1" applyBorder="1" applyAlignment="1">
      <alignment horizontal="left" vertical="center"/>
    </xf>
    <xf numFmtId="49" fontId="41" fillId="0" borderId="31" xfId="1" applyNumberFormat="1" applyFont="1" applyFill="1" applyBorder="1" applyAlignment="1">
      <alignment horizontal="right" vertical="center" wrapText="1"/>
    </xf>
    <xf numFmtId="1" fontId="41" fillId="2" borderId="7" xfId="1" applyNumberFormat="1" applyFont="1" applyFill="1" applyBorder="1" applyAlignment="1">
      <alignment horizontal="right" vertical="center" wrapText="1"/>
    </xf>
    <xf numFmtId="49" fontId="41" fillId="2" borderId="31" xfId="1" applyNumberFormat="1" applyFont="1" applyFill="1" applyBorder="1" applyAlignment="1">
      <alignment horizontal="center" vertical="center" wrapText="1"/>
    </xf>
    <xf numFmtId="49" fontId="51" fillId="2" borderId="9" xfId="1" applyNumberFormat="1" applyFont="1" applyFill="1" applyBorder="1" applyAlignment="1">
      <alignment vertical="center"/>
    </xf>
    <xf numFmtId="0" fontId="53" fillId="4" borderId="1" xfId="1" applyNumberFormat="1" applyFont="1" applyFill="1" applyBorder="1" applyAlignment="1">
      <alignment horizontal="center" vertical="center"/>
    </xf>
    <xf numFmtId="0" fontId="44" fillId="15" borderId="1" xfId="1" applyFont="1" applyFill="1" applyBorder="1" applyAlignment="1">
      <alignment horizontal="center" vertical="center"/>
    </xf>
    <xf numFmtId="0" fontId="41" fillId="33" borderId="1" xfId="1" applyNumberFormat="1" applyFont="1" applyFill="1" applyBorder="1" applyAlignment="1">
      <alignment horizontal="left" vertical="center" wrapText="1"/>
    </xf>
    <xf numFmtId="0" fontId="42" fillId="2" borderId="1" xfId="1" applyNumberFormat="1" applyFont="1" applyFill="1" applyBorder="1" applyAlignment="1">
      <alignment horizontal="center" vertical="center" wrapText="1"/>
    </xf>
    <xf numFmtId="1" fontId="41" fillId="2" borderId="7" xfId="1" applyNumberFormat="1" applyFont="1" applyFill="1" applyBorder="1" applyAlignment="1">
      <alignment horizontal="center" vertical="center"/>
    </xf>
    <xf numFmtId="0" fontId="41" fillId="0" borderId="8" xfId="1" applyFont="1" applyBorder="1" applyAlignment="1">
      <alignment vertical="center"/>
    </xf>
    <xf numFmtId="0" fontId="41" fillId="4" borderId="1" xfId="1" applyFont="1" applyFill="1" applyBorder="1" applyAlignment="1">
      <alignment vertical="center"/>
    </xf>
    <xf numFmtId="0" fontId="41" fillId="2" borderId="1" xfId="1" applyNumberFormat="1" applyFont="1" applyFill="1" applyBorder="1" applyAlignment="1">
      <alignment horizontal="center" vertical="center"/>
    </xf>
    <xf numFmtId="0" fontId="41" fillId="2" borderId="14" xfId="1" applyNumberFormat="1" applyFont="1" applyFill="1" applyBorder="1" applyAlignment="1">
      <alignment horizontal="center" vertical="center"/>
    </xf>
    <xf numFmtId="0" fontId="41" fillId="2" borderId="15" xfId="1" applyNumberFormat="1" applyFont="1" applyFill="1" applyBorder="1" applyAlignment="1">
      <alignment horizontal="center" vertical="center" wrapText="1"/>
    </xf>
    <xf numFmtId="0" fontId="41" fillId="2" borderId="13" xfId="1" applyNumberFormat="1" applyFont="1" applyFill="1" applyBorder="1" applyAlignment="1">
      <alignment horizontal="center" vertical="center"/>
    </xf>
    <xf numFmtId="1" fontId="42" fillId="2" borderId="7" xfId="1" applyNumberFormat="1" applyFont="1" applyFill="1" applyBorder="1" applyAlignment="1">
      <alignment horizontal="right" vertical="center"/>
    </xf>
    <xf numFmtId="2" fontId="52" fillId="2" borderId="1" xfId="1" applyNumberFormat="1" applyFont="1" applyFill="1" applyBorder="1" applyAlignment="1">
      <alignment horizontal="center" vertical="center"/>
    </xf>
    <xf numFmtId="0" fontId="41" fillId="2" borderId="14" xfId="1" applyFont="1" applyFill="1" applyBorder="1" applyAlignment="1">
      <alignment vertical="center"/>
    </xf>
    <xf numFmtId="0" fontId="41" fillId="2" borderId="13" xfId="1" applyFont="1" applyFill="1" applyBorder="1" applyAlignment="1">
      <alignment vertical="center"/>
    </xf>
    <xf numFmtId="1" fontId="42" fillId="2" borderId="8" xfId="1" applyNumberFormat="1" applyFont="1" applyFill="1" applyBorder="1" applyAlignment="1">
      <alignment horizontal="center" vertical="center"/>
    </xf>
    <xf numFmtId="1" fontId="42" fillId="2" borderId="24" xfId="1" applyNumberFormat="1" applyFont="1" applyFill="1" applyBorder="1" applyAlignment="1">
      <alignment horizontal="center" vertical="center" wrapText="1"/>
    </xf>
    <xf numFmtId="0" fontId="41" fillId="2" borderId="13" xfId="1" applyNumberFormat="1" applyFont="1" applyFill="1" applyBorder="1" applyAlignment="1">
      <alignment horizontal="center" vertical="center" wrapText="1"/>
    </xf>
    <xf numFmtId="0" fontId="41" fillId="2" borderId="8" xfId="1" applyNumberFormat="1" applyFont="1" applyFill="1" applyBorder="1" applyAlignment="1">
      <alignment horizontal="center" vertical="center" wrapText="1"/>
    </xf>
    <xf numFmtId="0" fontId="41" fillId="2" borderId="9" xfId="1" applyNumberFormat="1" applyFont="1" applyFill="1" applyBorder="1" applyAlignment="1">
      <alignment horizontal="center" vertical="center"/>
    </xf>
    <xf numFmtId="0" fontId="41" fillId="2" borderId="1" xfId="1" applyNumberFormat="1" applyFont="1" applyFill="1" applyBorder="1" applyAlignment="1">
      <alignment horizontal="left" vertical="center"/>
    </xf>
    <xf numFmtId="0" fontId="41" fillId="2" borderId="1" xfId="1" applyNumberFormat="1" applyFont="1" applyFill="1" applyBorder="1" applyAlignment="1">
      <alignment vertical="center"/>
    </xf>
    <xf numFmtId="0" fontId="41" fillId="2" borderId="9" xfId="1" applyNumberFormat="1" applyFont="1" applyFill="1" applyBorder="1" applyAlignment="1">
      <alignment horizontal="left" vertical="center" wrapText="1"/>
    </xf>
    <xf numFmtId="0" fontId="41" fillId="2" borderId="24" xfId="1" applyNumberFormat="1" applyFont="1" applyFill="1" applyBorder="1" applyAlignment="1">
      <alignment horizontal="left" vertical="center" wrapText="1"/>
    </xf>
    <xf numFmtId="0" fontId="41" fillId="2" borderId="20" xfId="1" applyNumberFormat="1" applyFont="1" applyFill="1" applyBorder="1" applyAlignment="1">
      <alignment horizontal="right" vertical="center" wrapText="1"/>
    </xf>
    <xf numFmtId="0" fontId="41" fillId="2" borderId="31" xfId="1" applyNumberFormat="1" applyFont="1" applyFill="1" applyBorder="1" applyAlignment="1">
      <alignment horizontal="center" vertical="center" wrapText="1"/>
    </xf>
    <xf numFmtId="1" fontId="42" fillId="2" borderId="1" xfId="1" applyNumberFormat="1" applyFont="1" applyFill="1" applyBorder="1" applyAlignment="1">
      <alignment horizontal="center" vertical="center"/>
    </xf>
    <xf numFmtId="0" fontId="41" fillId="2" borderId="8" xfId="1" applyFont="1" applyFill="1" applyBorder="1" applyAlignment="1">
      <alignment vertical="center"/>
    </xf>
    <xf numFmtId="0" fontId="54" fillId="16" borderId="8" xfId="1" applyFont="1" applyFill="1" applyBorder="1" applyAlignment="1">
      <alignment vertical="center"/>
    </xf>
    <xf numFmtId="0" fontId="41" fillId="0" borderId="8" xfId="1" applyFont="1" applyFill="1" applyBorder="1" applyAlignment="1">
      <alignment vertical="center"/>
    </xf>
    <xf numFmtId="0" fontId="41" fillId="2" borderId="0" xfId="1" applyFont="1" applyFill="1" applyAlignment="1">
      <alignment vertical="center"/>
    </xf>
    <xf numFmtId="0" fontId="49" fillId="2" borderId="24" xfId="1" applyNumberFormat="1" applyFont="1" applyFill="1" applyBorder="1" applyAlignment="1">
      <alignment horizontal="left" vertical="center" wrapText="1"/>
    </xf>
    <xf numFmtId="0" fontId="41" fillId="15" borderId="13" xfId="1" applyNumberFormat="1" applyFont="1" applyFill="1" applyBorder="1" applyAlignment="1">
      <alignment vertical="center" wrapText="1"/>
    </xf>
    <xf numFmtId="0" fontId="41" fillId="15" borderId="14" xfId="1" applyFont="1" applyFill="1" applyBorder="1" applyAlignment="1">
      <alignment vertical="center"/>
    </xf>
    <xf numFmtId="0" fontId="44" fillId="15" borderId="24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/>
    </xf>
    <xf numFmtId="49" fontId="41" fillId="0" borderId="8" xfId="1" applyNumberFormat="1" applyFont="1" applyFill="1" applyBorder="1" applyAlignment="1">
      <alignment horizontal="left" vertical="center"/>
    </xf>
    <xf numFmtId="0" fontId="41" fillId="0" borderId="9" xfId="1" applyNumberFormat="1" applyFont="1" applyFill="1" applyBorder="1" applyAlignment="1">
      <alignment horizontal="left" vertical="center" wrapText="1"/>
    </xf>
    <xf numFmtId="0" fontId="42" fillId="15" borderId="14" xfId="1" applyFont="1" applyFill="1" applyBorder="1" applyAlignment="1">
      <alignment horizontal="center" vertical="center"/>
    </xf>
    <xf numFmtId="0" fontId="52" fillId="2" borderId="13" xfId="1" applyFont="1" applyFill="1" applyBorder="1" applyAlignment="1">
      <alignment horizontal="left" vertical="center"/>
    </xf>
    <xf numFmtId="0" fontId="41" fillId="2" borderId="9" xfId="1" applyFont="1" applyFill="1" applyBorder="1" applyAlignment="1">
      <alignment horizontal="left" vertical="center"/>
    </xf>
    <xf numFmtId="49" fontId="41" fillId="2" borderId="8" xfId="1" applyNumberFormat="1" applyFont="1" applyFill="1" applyBorder="1" applyAlignment="1">
      <alignment horizontal="right" vertical="center" wrapText="1"/>
    </xf>
    <xf numFmtId="49" fontId="41" fillId="2" borderId="8" xfId="1" applyNumberFormat="1" applyFont="1" applyFill="1" applyBorder="1" applyAlignment="1">
      <alignment horizontal="left" vertical="center"/>
    </xf>
    <xf numFmtId="0" fontId="41" fillId="2" borderId="0" xfId="1" applyNumberFormat="1" applyFont="1" applyFill="1" applyBorder="1" applyAlignment="1">
      <alignment horizontal="center" vertical="center" wrapText="1"/>
    </xf>
    <xf numFmtId="0" fontId="44" fillId="15" borderId="0" xfId="1" applyNumberFormat="1" applyFont="1" applyFill="1" applyBorder="1" applyAlignment="1">
      <alignment horizontal="center" vertical="center" wrapText="1"/>
    </xf>
    <xf numFmtId="0" fontId="41" fillId="2" borderId="0" xfId="1" applyNumberFormat="1" applyFont="1" applyFill="1" applyBorder="1" applyAlignment="1">
      <alignment horizontal="left" vertical="center" wrapText="1"/>
    </xf>
    <xf numFmtId="49" fontId="41" fillId="2" borderId="0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Border="1" applyAlignment="1">
      <alignment horizontal="left" vertical="center" wrapText="1"/>
    </xf>
    <xf numFmtId="2" fontId="41" fillId="15" borderId="0" xfId="1" applyNumberFormat="1" applyFont="1" applyFill="1" applyBorder="1" applyAlignment="1">
      <alignment horizontal="left" vertical="center"/>
    </xf>
    <xf numFmtId="1" fontId="41" fillId="15" borderId="0" xfId="1" applyNumberFormat="1" applyFont="1" applyFill="1" applyBorder="1" applyAlignment="1">
      <alignment horizontal="center" vertical="center"/>
    </xf>
    <xf numFmtId="49" fontId="41" fillId="15" borderId="0" xfId="1" applyNumberFormat="1" applyFont="1" applyFill="1" applyBorder="1" applyAlignment="1">
      <alignment vertical="center"/>
    </xf>
    <xf numFmtId="0" fontId="48" fillId="15" borderId="0" xfId="1" applyNumberFormat="1" applyFont="1" applyFill="1" applyBorder="1" applyAlignment="1">
      <alignment horizontal="left" vertical="center" wrapText="1"/>
    </xf>
    <xf numFmtId="0" fontId="49" fillId="2" borderId="0" xfId="1" applyNumberFormat="1" applyFont="1" applyFill="1" applyBorder="1" applyAlignment="1">
      <alignment horizontal="left" vertical="center" wrapText="1"/>
    </xf>
    <xf numFmtId="0" fontId="41" fillId="15" borderId="0" xfId="1" applyNumberFormat="1" applyFont="1" applyFill="1" applyBorder="1" applyAlignment="1">
      <alignment vertical="center" wrapText="1"/>
    </xf>
    <xf numFmtId="2" fontId="41" fillId="2" borderId="0" xfId="1" applyNumberFormat="1" applyFont="1" applyFill="1" applyBorder="1" applyAlignment="1">
      <alignment horizontal="center" vertical="center"/>
    </xf>
    <xf numFmtId="2" fontId="41" fillId="2" borderId="0" xfId="1" applyNumberFormat="1" applyFont="1" applyFill="1" applyBorder="1" applyAlignment="1">
      <alignment vertical="center"/>
    </xf>
    <xf numFmtId="0" fontId="41" fillId="15" borderId="0" xfId="1" applyFont="1" applyFill="1" applyBorder="1" applyAlignment="1">
      <alignment vertical="center"/>
    </xf>
    <xf numFmtId="0" fontId="44" fillId="15" borderId="0" xfId="1" applyFont="1" applyFill="1" applyBorder="1" applyAlignment="1">
      <alignment horizontal="center" vertical="center" wrapText="1"/>
    </xf>
    <xf numFmtId="0" fontId="41" fillId="0" borderId="0" xfId="1" applyFont="1" applyBorder="1" applyAlignment="1">
      <alignment horizontal="center" vertical="center"/>
    </xf>
    <xf numFmtId="0" fontId="50" fillId="0" borderId="0" xfId="1" applyFont="1" applyFill="1" applyBorder="1" applyAlignment="1">
      <alignment vertical="center"/>
    </xf>
    <xf numFmtId="1" fontId="41" fillId="2" borderId="0" xfId="1" applyNumberFormat="1" applyFont="1" applyFill="1" applyBorder="1" applyAlignment="1">
      <alignment horizontal="center" vertical="center"/>
    </xf>
    <xf numFmtId="0" fontId="41" fillId="2" borderId="0" xfId="1" applyNumberFormat="1" applyFont="1" applyFill="1" applyBorder="1" applyAlignment="1">
      <alignment horizontal="right" vertical="center"/>
    </xf>
    <xf numFmtId="0" fontId="41" fillId="2" borderId="0" xfId="1" applyNumberFormat="1" applyFont="1" applyFill="1" applyBorder="1" applyAlignment="1">
      <alignment horizontal="left" vertical="center"/>
    </xf>
    <xf numFmtId="2" fontId="41" fillId="0" borderId="0" xfId="1" applyNumberFormat="1" applyFont="1" applyFill="1" applyBorder="1" applyAlignment="1">
      <alignment horizontal="center" vertical="center"/>
    </xf>
    <xf numFmtId="2" fontId="41" fillId="0" borderId="0" xfId="1" applyNumberFormat="1" applyFont="1" applyFill="1" applyBorder="1" applyAlignment="1">
      <alignment horizontal="left" vertical="center"/>
    </xf>
    <xf numFmtId="1" fontId="41" fillId="0" borderId="0" xfId="1" applyNumberFormat="1" applyFont="1" applyFill="1" applyBorder="1" applyAlignment="1">
      <alignment horizontal="left" vertical="center"/>
    </xf>
    <xf numFmtId="0" fontId="42" fillId="7" borderId="0" xfId="1" applyFont="1" applyFill="1" applyBorder="1" applyAlignment="1">
      <alignment horizontal="center" vertical="center"/>
    </xf>
    <xf numFmtId="0" fontId="41" fillId="2" borderId="0" xfId="1" applyFont="1" applyFill="1" applyBorder="1" applyAlignment="1">
      <alignment horizontal="left" vertical="center"/>
    </xf>
    <xf numFmtId="1" fontId="41" fillId="2" borderId="0" xfId="1" applyNumberFormat="1" applyFont="1" applyFill="1" applyBorder="1" applyAlignment="1">
      <alignment horizontal="right" vertical="center"/>
    </xf>
    <xf numFmtId="2" fontId="41" fillId="2" borderId="0" xfId="1" applyNumberFormat="1" applyFont="1" applyFill="1" applyBorder="1" applyAlignment="1">
      <alignment horizontal="left" vertical="center"/>
    </xf>
    <xf numFmtId="1" fontId="41" fillId="2" borderId="0" xfId="1" applyNumberFormat="1" applyFont="1" applyFill="1" applyBorder="1" applyAlignment="1">
      <alignment horizontal="left" vertical="center"/>
    </xf>
    <xf numFmtId="49" fontId="41" fillId="2" borderId="0" xfId="1" applyNumberFormat="1" applyFont="1" applyFill="1" applyBorder="1" applyAlignment="1">
      <alignment horizontal="right" vertical="center"/>
    </xf>
    <xf numFmtId="49" fontId="41" fillId="2" borderId="0" xfId="1" applyNumberFormat="1" applyFont="1" applyFill="1" applyBorder="1" applyAlignment="1">
      <alignment horizontal="left" vertical="center"/>
    </xf>
    <xf numFmtId="49" fontId="41" fillId="2" borderId="0" xfId="1" applyNumberFormat="1" applyFont="1" applyFill="1" applyBorder="1" applyAlignment="1">
      <alignment horizontal="center" vertical="center"/>
    </xf>
    <xf numFmtId="49" fontId="51" fillId="2" borderId="0" xfId="1" applyNumberFormat="1" applyFont="1" applyFill="1" applyBorder="1" applyAlignment="1">
      <alignment vertical="center" wrapText="1"/>
    </xf>
    <xf numFmtId="0" fontId="44" fillId="12" borderId="0" xfId="1" applyNumberFormat="1" applyFont="1" applyFill="1" applyBorder="1" applyAlignment="1">
      <alignment horizontal="center" vertical="center"/>
    </xf>
    <xf numFmtId="1" fontId="41" fillId="2" borderId="0" xfId="1" applyNumberFormat="1" applyFont="1" applyFill="1" applyBorder="1" applyAlignment="1">
      <alignment horizontal="center" vertical="center" wrapText="1"/>
    </xf>
    <xf numFmtId="1" fontId="44" fillId="15" borderId="0" xfId="1" applyNumberFormat="1" applyFont="1" applyFill="1" applyBorder="1" applyAlignment="1">
      <alignment horizontal="center" vertical="center"/>
    </xf>
    <xf numFmtId="0" fontId="41" fillId="2" borderId="0" xfId="1" applyFont="1" applyFill="1" applyBorder="1" applyAlignment="1">
      <alignment horizontal="center" vertical="center"/>
    </xf>
    <xf numFmtId="1" fontId="41" fillId="2" borderId="0" xfId="1" applyNumberFormat="1" applyFont="1" applyFill="1" applyBorder="1" applyAlignment="1">
      <alignment horizontal="right" vertical="center" wrapText="1"/>
    </xf>
    <xf numFmtId="49" fontId="41" fillId="2" borderId="0" xfId="1" applyNumberFormat="1" applyFont="1" applyFill="1" applyBorder="1" applyAlignment="1">
      <alignment horizontal="right" vertical="center" wrapText="1"/>
    </xf>
    <xf numFmtId="49" fontId="41" fillId="0" borderId="0" xfId="1" applyNumberFormat="1" applyFont="1" applyFill="1" applyBorder="1" applyAlignment="1">
      <alignment horizontal="left" vertical="center"/>
    </xf>
    <xf numFmtId="49" fontId="41" fillId="0" borderId="0" xfId="1" applyNumberFormat="1" applyFont="1" applyFill="1" applyBorder="1" applyAlignment="1">
      <alignment horizontal="right" vertical="center" wrapText="1"/>
    </xf>
    <xf numFmtId="0" fontId="41" fillId="0" borderId="0" xfId="1" applyNumberFormat="1" applyFont="1" applyFill="1" applyBorder="1" applyAlignment="1">
      <alignment horizontal="left" vertical="center" wrapText="1"/>
    </xf>
    <xf numFmtId="0" fontId="42" fillId="15" borderId="0" xfId="1" applyFont="1" applyFill="1" applyBorder="1" applyAlignment="1">
      <alignment horizontal="center" vertical="center"/>
    </xf>
    <xf numFmtId="0" fontId="52" fillId="2" borderId="0" xfId="1" applyFont="1" applyFill="1" applyBorder="1" applyAlignment="1">
      <alignment horizontal="left" vertical="center"/>
    </xf>
    <xf numFmtId="49" fontId="51" fillId="2" borderId="0" xfId="1" applyNumberFormat="1" applyFont="1" applyFill="1" applyBorder="1" applyAlignment="1">
      <alignment vertical="center"/>
    </xf>
    <xf numFmtId="0" fontId="53" fillId="4" borderId="0" xfId="1" applyNumberFormat="1" applyFont="1" applyFill="1" applyBorder="1" applyAlignment="1">
      <alignment horizontal="center" vertical="center"/>
    </xf>
    <xf numFmtId="0" fontId="44" fillId="15" borderId="0" xfId="1" applyFont="1" applyFill="1" applyBorder="1" applyAlignment="1">
      <alignment horizontal="center" vertical="center"/>
    </xf>
    <xf numFmtId="0" fontId="41" fillId="33" borderId="0" xfId="1" applyNumberFormat="1" applyFont="1" applyFill="1" applyBorder="1" applyAlignment="1">
      <alignment horizontal="left" vertical="center" wrapText="1"/>
    </xf>
    <xf numFmtId="0" fontId="42" fillId="2" borderId="0" xfId="1" applyNumberFormat="1" applyFont="1" applyFill="1" applyBorder="1" applyAlignment="1">
      <alignment horizontal="center" vertical="center" wrapText="1"/>
    </xf>
    <xf numFmtId="0" fontId="41" fillId="4" borderId="0" xfId="1" applyFont="1" applyFill="1" applyBorder="1" applyAlignment="1">
      <alignment vertical="center"/>
    </xf>
    <xf numFmtId="0" fontId="41" fillId="2" borderId="0" xfId="1" applyNumberFormat="1" applyFont="1" applyFill="1" applyBorder="1" applyAlignment="1">
      <alignment horizontal="center" vertical="center"/>
    </xf>
    <xf numFmtId="1" fontId="42" fillId="2" borderId="0" xfId="1" applyNumberFormat="1" applyFont="1" applyFill="1" applyBorder="1" applyAlignment="1">
      <alignment horizontal="right" vertical="center"/>
    </xf>
    <xf numFmtId="2" fontId="52" fillId="2" borderId="0" xfId="1" applyNumberFormat="1" applyFont="1" applyFill="1" applyBorder="1" applyAlignment="1">
      <alignment horizontal="center" vertical="center"/>
    </xf>
    <xf numFmtId="0" fontId="41" fillId="2" borderId="0" xfId="1" applyFont="1" applyFill="1" applyBorder="1" applyAlignment="1">
      <alignment vertical="center"/>
    </xf>
    <xf numFmtId="1" fontId="42" fillId="2" borderId="0" xfId="1" applyNumberFormat="1" applyFont="1" applyFill="1" applyBorder="1" applyAlignment="1">
      <alignment horizontal="center" vertical="center"/>
    </xf>
    <xf numFmtId="1" fontId="42" fillId="2" borderId="0" xfId="1" applyNumberFormat="1" applyFont="1" applyFill="1" applyBorder="1" applyAlignment="1">
      <alignment horizontal="center" vertical="center" wrapText="1"/>
    </xf>
    <xf numFmtId="0" fontId="41" fillId="2" borderId="0" xfId="1" applyNumberFormat="1" applyFont="1" applyFill="1" applyBorder="1" applyAlignment="1">
      <alignment vertical="center"/>
    </xf>
    <xf numFmtId="0" fontId="41" fillId="2" borderId="0" xfId="1" applyNumberFormat="1" applyFont="1" applyFill="1" applyBorder="1" applyAlignment="1">
      <alignment horizontal="right" vertical="center" wrapText="1"/>
    </xf>
    <xf numFmtId="0" fontId="54" fillId="16" borderId="0" xfId="1" applyFont="1" applyFill="1" applyBorder="1" applyAlignment="1">
      <alignment vertical="center"/>
    </xf>
    <xf numFmtId="0" fontId="41" fillId="0" borderId="0" xfId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vertical="center"/>
    </xf>
    <xf numFmtId="1" fontId="15" fillId="2" borderId="20" xfId="0" applyNumberFormat="1" applyFont="1" applyFill="1" applyBorder="1" applyAlignment="1">
      <alignment horizontal="left" vertical="center"/>
    </xf>
    <xf numFmtId="0" fontId="11" fillId="0" borderId="32" xfId="0" quotePrefix="1" applyNumberFormat="1" applyFont="1" applyBorder="1" applyAlignment="1">
      <alignment vertical="center"/>
    </xf>
    <xf numFmtId="1" fontId="15" fillId="0" borderId="20" xfId="0" applyNumberFormat="1" applyFont="1" applyFill="1" applyBorder="1" applyAlignment="1">
      <alignment horizontal="center" vertical="center"/>
    </xf>
    <xf numFmtId="2" fontId="15" fillId="23" borderId="8" xfId="0" applyNumberFormat="1" applyFont="1" applyFill="1" applyBorder="1" applyAlignment="1">
      <alignment horizontal="left" vertical="center"/>
    </xf>
    <xf numFmtId="1" fontId="41" fillId="2" borderId="9" xfId="1" applyNumberFormat="1" applyFont="1" applyFill="1" applyBorder="1" applyAlignment="1">
      <alignment horizontal="center" vertical="center" wrapText="1"/>
    </xf>
    <xf numFmtId="0" fontId="15" fillId="2" borderId="1" xfId="0" quotePrefix="1" applyNumberFormat="1" applyFont="1" applyFill="1" applyBorder="1" applyAlignment="1">
      <alignment horizontal="center" vertical="center" wrapText="1"/>
    </xf>
    <xf numFmtId="49" fontId="15" fillId="16" borderId="1" xfId="0" applyNumberFormat="1" applyFont="1" applyFill="1" applyBorder="1" applyAlignment="1">
      <alignment horizontal="center" vertical="center"/>
    </xf>
    <xf numFmtId="2" fontId="15" fillId="15" borderId="20" xfId="0" applyNumberFormat="1" applyFont="1" applyFill="1" applyBorder="1" applyAlignment="1">
      <alignment horizontal="center" vertical="center"/>
    </xf>
    <xf numFmtId="0" fontId="41" fillId="0" borderId="0" xfId="1" applyFont="1" applyAlignment="1">
      <alignment horizontal="center" wrapText="1"/>
    </xf>
    <xf numFmtId="0" fontId="16" fillId="0" borderId="1" xfId="0" applyFont="1" applyBorder="1" applyAlignment="1">
      <alignment vertical="center"/>
    </xf>
    <xf numFmtId="0" fontId="41" fillId="0" borderId="0" xfId="1" applyFont="1" applyAlignment="1">
      <alignment horizontal="center"/>
    </xf>
    <xf numFmtId="0" fontId="15" fillId="2" borderId="14" xfId="0" applyNumberFormat="1" applyFont="1" applyFill="1" applyBorder="1" applyAlignment="1">
      <alignment horizontal="left" vertical="center" wrapText="1"/>
    </xf>
    <xf numFmtId="1" fontId="41" fillId="2" borderId="0" xfId="1" applyNumberFormat="1" applyFont="1" applyFill="1" applyBorder="1" applyAlignment="1"/>
    <xf numFmtId="1" fontId="41" fillId="2" borderId="0" xfId="1" applyNumberFormat="1" applyFont="1" applyFill="1" applyBorder="1" applyAlignment="1">
      <alignment horizontal="right"/>
    </xf>
    <xf numFmtId="0" fontId="42" fillId="2" borderId="0" xfId="1" applyFont="1" applyFill="1" applyBorder="1" applyAlignment="1">
      <alignment horizontal="left"/>
    </xf>
    <xf numFmtId="0" fontId="42" fillId="2" borderId="0" xfId="1" applyFont="1" applyFill="1" applyBorder="1" applyAlignment="1">
      <alignment horizontal="right"/>
    </xf>
    <xf numFmtId="49" fontId="42" fillId="2" borderId="0" xfId="1" applyNumberFormat="1" applyFont="1" applyFill="1" applyBorder="1" applyAlignment="1">
      <alignment horizontal="right"/>
    </xf>
    <xf numFmtId="49" fontId="42" fillId="2" borderId="0" xfId="1" applyNumberFormat="1" applyFont="1" applyFill="1" applyBorder="1" applyAlignment="1">
      <alignment horizontal="left"/>
    </xf>
    <xf numFmtId="49" fontId="42" fillId="2" borderId="0" xfId="1" applyNumberFormat="1" applyFont="1" applyFill="1" applyBorder="1" applyAlignment="1">
      <alignment horizontal="left" wrapText="1"/>
    </xf>
    <xf numFmtId="0" fontId="42" fillId="2" borderId="0" xfId="1" applyFont="1" applyFill="1" applyBorder="1" applyAlignment="1">
      <alignment horizontal="center" wrapText="1"/>
    </xf>
    <xf numFmtId="0" fontId="42" fillId="2" borderId="0" xfId="1" applyFont="1" applyFill="1" applyBorder="1" applyAlignment="1">
      <alignment horizontal="center"/>
    </xf>
    <xf numFmtId="0" fontId="41" fillId="2" borderId="0" xfId="1" applyFont="1" applyFill="1" applyAlignment="1">
      <alignment horizontal="right"/>
    </xf>
    <xf numFmtId="0" fontId="41" fillId="2" borderId="0" xfId="1" applyFont="1" applyFill="1" applyAlignment="1">
      <alignment horizontal="center"/>
    </xf>
    <xf numFmtId="0" fontId="41" fillId="2" borderId="0" xfId="1" applyFont="1" applyFill="1" applyBorder="1" applyAlignment="1">
      <alignment horizontal="right"/>
    </xf>
    <xf numFmtId="0" fontId="41" fillId="2" borderId="0" xfId="1" applyFont="1" applyFill="1" applyBorder="1" applyAlignment="1">
      <alignment horizontal="left"/>
    </xf>
    <xf numFmtId="0" fontId="41" fillId="2" borderId="0" xfId="1" applyFont="1" applyFill="1" applyAlignment="1">
      <alignment horizontal="left"/>
    </xf>
    <xf numFmtId="0" fontId="41" fillId="2" borderId="0" xfId="1" applyFont="1" applyFill="1" applyBorder="1" applyAlignment="1">
      <alignment horizontal="center"/>
    </xf>
    <xf numFmtId="0" fontId="41" fillId="2" borderId="0" xfId="1" applyNumberFormat="1" applyFont="1" applyFill="1" applyAlignment="1">
      <alignment horizontal="center" wrapText="1"/>
    </xf>
    <xf numFmtId="0" fontId="41" fillId="2" borderId="0" xfId="1" applyNumberFormat="1" applyFont="1" applyFill="1" applyAlignment="1">
      <alignment horizontal="left" wrapText="1"/>
    </xf>
    <xf numFmtId="0" fontId="41" fillId="2" borderId="0" xfId="1" applyNumberFormat="1" applyFont="1" applyFill="1" applyAlignment="1">
      <alignment horizontal="center" textRotation="90" wrapText="1"/>
    </xf>
    <xf numFmtId="2" fontId="41" fillId="2" borderId="0" xfId="1" applyNumberFormat="1" applyFont="1" applyFill="1" applyAlignment="1"/>
    <xf numFmtId="0" fontId="55" fillId="0" borderId="0" xfId="1" applyFont="1" applyAlignment="1"/>
    <xf numFmtId="0" fontId="55" fillId="0" borderId="0" xfId="1" applyFont="1" applyAlignment="1">
      <alignment horizontal="center"/>
    </xf>
    <xf numFmtId="0" fontId="42" fillId="0" borderId="0" xfId="1" applyFont="1" applyAlignment="1">
      <alignment wrapText="1"/>
    </xf>
    <xf numFmtId="0" fontId="42" fillId="0" borderId="0" xfId="1" applyNumberFormat="1" applyFont="1" applyBorder="1" applyAlignment="1">
      <alignment horizontal="center" wrapText="1"/>
    </xf>
    <xf numFmtId="0" fontId="41" fillId="0" borderId="0" xfId="1" applyNumberFormat="1" applyFont="1" applyAlignment="1">
      <alignment wrapText="1"/>
    </xf>
    <xf numFmtId="2" fontId="49" fillId="0" borderId="0" xfId="1" applyNumberFormat="1" applyFont="1" applyAlignment="1"/>
    <xf numFmtId="0" fontId="49" fillId="0" borderId="0" xfId="1" applyNumberFormat="1" applyFont="1" applyBorder="1" applyAlignment="1">
      <alignment horizontal="center" wrapText="1"/>
    </xf>
    <xf numFmtId="0" fontId="49" fillId="0" borderId="0" xfId="1" applyNumberFormat="1" applyFont="1" applyAlignment="1">
      <alignment wrapText="1"/>
    </xf>
    <xf numFmtId="0" fontId="49" fillId="0" borderId="0" xfId="1" applyNumberFormat="1" applyFont="1" applyAlignment="1">
      <alignment horizontal="left"/>
    </xf>
    <xf numFmtId="2" fontId="42" fillId="0" borderId="0" xfId="1" applyNumberFormat="1" applyFont="1" applyAlignment="1"/>
    <xf numFmtId="0" fontId="41" fillId="2" borderId="7" xfId="1" applyNumberFormat="1" applyFont="1" applyFill="1" applyBorder="1" applyAlignment="1">
      <alignment horizontal="center" vertical="center" wrapText="1"/>
    </xf>
    <xf numFmtId="0" fontId="60" fillId="0" borderId="0" xfId="1" applyNumberFormat="1" applyFont="1" applyBorder="1" applyAlignment="1">
      <alignment wrapText="1"/>
    </xf>
    <xf numFmtId="0" fontId="60" fillId="0" borderId="0" xfId="1" applyNumberFormat="1" applyFont="1" applyBorder="1" applyAlignment="1">
      <alignment horizontal="left" wrapText="1"/>
    </xf>
    <xf numFmtId="0" fontId="43" fillId="0" borderId="0" xfId="1" applyNumberFormat="1" applyFont="1" applyBorder="1" applyAlignment="1">
      <alignment wrapText="1"/>
    </xf>
    <xf numFmtId="0" fontId="43" fillId="0" borderId="0" xfId="1" applyNumberFormat="1" applyFont="1" applyBorder="1" applyAlignment="1">
      <alignment horizontal="left" wrapText="1"/>
    </xf>
    <xf numFmtId="0" fontId="43" fillId="0" borderId="0" xfId="1" applyNumberFormat="1" applyFont="1" applyBorder="1" applyAlignment="1">
      <alignment horizontal="center" wrapText="1"/>
    </xf>
    <xf numFmtId="0" fontId="41" fillId="2" borderId="0" xfId="1" applyFont="1" applyFill="1" applyAlignment="1">
      <alignment vertical="center" wrapText="1"/>
    </xf>
    <xf numFmtId="0" fontId="41" fillId="2" borderId="14" xfId="1" applyNumberFormat="1" applyFont="1" applyFill="1" applyBorder="1" applyAlignment="1">
      <alignment horizontal="left" vertical="center"/>
    </xf>
    <xf numFmtId="0" fontId="41" fillId="2" borderId="14" xfId="1" applyNumberFormat="1" applyFont="1" applyFill="1" applyBorder="1" applyAlignment="1">
      <alignment vertical="center"/>
    </xf>
    <xf numFmtId="0" fontId="41" fillId="2" borderId="8" xfId="1" applyNumberFormat="1" applyFont="1" applyFill="1" applyBorder="1" applyAlignment="1">
      <alignment vertical="center"/>
    </xf>
    <xf numFmtId="49" fontId="61" fillId="2" borderId="9" xfId="1" applyNumberFormat="1" applyFont="1" applyFill="1" applyBorder="1" applyAlignment="1">
      <alignment horizontal="left" vertical="center"/>
    </xf>
    <xf numFmtId="0" fontId="62" fillId="2" borderId="0" xfId="1" applyNumberFormat="1" applyFont="1" applyFill="1" applyAlignment="1">
      <alignment horizontal="center" vertical="center"/>
    </xf>
    <xf numFmtId="0" fontId="52" fillId="2" borderId="1" xfId="1" applyNumberFormat="1" applyFont="1" applyFill="1" applyBorder="1" applyAlignment="1">
      <alignment horizontal="center" vertical="center" wrapText="1"/>
    </xf>
    <xf numFmtId="1" fontId="42" fillId="2" borderId="7" xfId="1" applyNumberFormat="1" applyFont="1" applyFill="1" applyBorder="1" applyAlignment="1">
      <alignment horizontal="center" vertical="center"/>
    </xf>
    <xf numFmtId="1" fontId="58" fillId="2" borderId="1" xfId="1" applyNumberFormat="1" applyFont="1" applyFill="1" applyBorder="1" applyAlignment="1">
      <alignment horizontal="center" vertical="center"/>
    </xf>
    <xf numFmtId="1" fontId="52" fillId="2" borderId="14" xfId="1" applyNumberFormat="1" applyFont="1" applyFill="1" applyBorder="1" applyAlignment="1">
      <alignment horizontal="center" vertical="center"/>
    </xf>
    <xf numFmtId="0" fontId="52" fillId="2" borderId="1" xfId="1" applyFont="1" applyFill="1" applyBorder="1" applyAlignment="1">
      <alignment horizontal="center" vertical="center"/>
    </xf>
    <xf numFmtId="2" fontId="58" fillId="2" borderId="1" xfId="1" applyNumberFormat="1" applyFont="1" applyFill="1" applyBorder="1" applyAlignment="1">
      <alignment horizontal="center" vertical="center"/>
    </xf>
    <xf numFmtId="0" fontId="58" fillId="2" borderId="1" xfId="1" applyFont="1" applyFill="1" applyBorder="1" applyAlignment="1">
      <alignment vertical="center"/>
    </xf>
    <xf numFmtId="0" fontId="41" fillId="2" borderId="11" xfId="1" applyFont="1" applyFill="1" applyBorder="1" applyAlignment="1">
      <alignment horizontal="left" vertical="center"/>
    </xf>
    <xf numFmtId="0" fontId="41" fillId="2" borderId="16" xfId="1" applyNumberFormat="1" applyFont="1" applyFill="1" applyBorder="1" applyAlignment="1">
      <alignment horizontal="left" vertical="center" wrapText="1"/>
    </xf>
    <xf numFmtId="0" fontId="41" fillId="2" borderId="6" xfId="1" applyNumberFormat="1" applyFont="1" applyFill="1" applyBorder="1" applyAlignment="1">
      <alignment horizontal="center" vertical="center" wrapText="1"/>
    </xf>
    <xf numFmtId="0" fontId="42" fillId="0" borderId="0" xfId="1" applyFont="1" applyAlignment="1">
      <alignment vertical="center"/>
    </xf>
    <xf numFmtId="0" fontId="42" fillId="0" borderId="0" xfId="1" applyNumberFormat="1" applyFont="1" applyBorder="1" applyAlignment="1"/>
    <xf numFmtId="0" fontId="41" fillId="2" borderId="3" xfId="1" applyNumberFormat="1" applyFont="1" applyFill="1" applyBorder="1" applyAlignment="1">
      <alignment horizontal="center" vertical="center" wrapText="1"/>
    </xf>
    <xf numFmtId="0" fontId="59" fillId="0" borderId="0" xfId="1" applyFont="1" applyAlignment="1">
      <alignment horizontal="center" vertical="center"/>
    </xf>
    <xf numFmtId="0" fontId="41" fillId="2" borderId="15" xfId="1" applyNumberFormat="1" applyFont="1" applyFill="1" applyBorder="1" applyAlignment="1">
      <alignment horizontal="center" vertical="center"/>
    </xf>
    <xf numFmtId="0" fontId="41" fillId="2" borderId="8" xfId="1" applyNumberFormat="1" applyFont="1" applyFill="1" applyBorder="1" applyAlignment="1">
      <alignment horizontal="center" vertical="center"/>
    </xf>
    <xf numFmtId="0" fontId="41" fillId="2" borderId="8" xfId="1" applyNumberFormat="1" applyFont="1" applyFill="1" applyBorder="1" applyAlignment="1">
      <alignment horizontal="left" vertical="center"/>
    </xf>
    <xf numFmtId="0" fontId="41" fillId="2" borderId="9" xfId="1" applyNumberFormat="1" applyFont="1" applyFill="1" applyBorder="1" applyAlignment="1">
      <alignment horizontal="center" vertical="center" wrapText="1"/>
    </xf>
    <xf numFmtId="0" fontId="52" fillId="2" borderId="9" xfId="1" applyNumberFormat="1" applyFont="1" applyFill="1" applyBorder="1" applyAlignment="1">
      <alignment horizontal="center" vertical="center" wrapText="1"/>
    </xf>
    <xf numFmtId="1" fontId="41" fillId="2" borderId="8" xfId="1" applyNumberFormat="1" applyFont="1" applyFill="1" applyBorder="1" applyAlignment="1">
      <alignment horizontal="center" vertical="center" wrapText="1"/>
    </xf>
    <xf numFmtId="1" fontId="58" fillId="2" borderId="9" xfId="1" applyNumberFormat="1" applyFont="1" applyFill="1" applyBorder="1" applyAlignment="1">
      <alignment horizontal="center" vertical="center"/>
    </xf>
    <xf numFmtId="1" fontId="52" fillId="2" borderId="8" xfId="1" applyNumberFormat="1" applyFont="1" applyFill="1" applyBorder="1" applyAlignment="1">
      <alignment horizontal="center" vertical="center"/>
    </xf>
    <xf numFmtId="0" fontId="52" fillId="2" borderId="9" xfId="1" applyFont="1" applyFill="1" applyBorder="1" applyAlignment="1">
      <alignment horizontal="center" vertical="center"/>
    </xf>
    <xf numFmtId="1" fontId="42" fillId="2" borderId="8" xfId="1" applyNumberFormat="1" applyFont="1" applyFill="1" applyBorder="1" applyAlignment="1">
      <alignment horizontal="right" vertical="center"/>
    </xf>
    <xf numFmtId="2" fontId="52" fillId="2" borderId="7" xfId="1" applyNumberFormat="1" applyFont="1" applyFill="1" applyBorder="1" applyAlignment="1">
      <alignment horizontal="center" vertical="center"/>
    </xf>
    <xf numFmtId="0" fontId="58" fillId="2" borderId="8" xfId="1" applyFont="1" applyFill="1" applyBorder="1" applyAlignment="1">
      <alignment vertical="center"/>
    </xf>
    <xf numFmtId="0" fontId="41" fillId="2" borderId="10" xfId="1" applyNumberFormat="1" applyFont="1" applyFill="1" applyBorder="1" applyAlignment="1">
      <alignment horizontal="center" vertical="center" wrapText="1"/>
    </xf>
    <xf numFmtId="0" fontId="41" fillId="2" borderId="27" xfId="1" applyNumberFormat="1" applyFont="1" applyFill="1" applyBorder="1" applyAlignment="1">
      <alignment horizontal="left" vertical="center"/>
    </xf>
    <xf numFmtId="0" fontId="41" fillId="2" borderId="28" xfId="1" applyNumberFormat="1" applyFont="1" applyFill="1" applyBorder="1" applyAlignment="1">
      <alignment horizontal="center" vertical="center"/>
    </xf>
    <xf numFmtId="0" fontId="41" fillId="2" borderId="27" xfId="1" applyNumberFormat="1" applyFont="1" applyFill="1" applyBorder="1" applyAlignment="1">
      <alignment vertical="center"/>
    </xf>
    <xf numFmtId="0" fontId="41" fillId="2" borderId="17" xfId="1" applyNumberFormat="1" applyFont="1" applyFill="1" applyBorder="1" applyAlignment="1">
      <alignment vertical="center"/>
    </xf>
    <xf numFmtId="0" fontId="41" fillId="2" borderId="17" xfId="1" applyNumberFormat="1" applyFont="1" applyFill="1" applyBorder="1" applyAlignment="1">
      <alignment horizontal="center" vertical="center"/>
    </xf>
    <xf numFmtId="0" fontId="41" fillId="2" borderId="17" xfId="1" applyNumberFormat="1" applyFont="1" applyFill="1" applyBorder="1" applyAlignment="1">
      <alignment horizontal="left" vertical="center"/>
    </xf>
    <xf numFmtId="0" fontId="41" fillId="2" borderId="11" xfId="1" applyNumberFormat="1" applyFont="1" applyFill="1" applyBorder="1" applyAlignment="1">
      <alignment horizontal="center" vertical="center" wrapText="1"/>
    </xf>
    <xf numFmtId="49" fontId="61" fillId="2" borderId="11" xfId="1" applyNumberFormat="1" applyFont="1" applyFill="1" applyBorder="1" applyAlignment="1">
      <alignment horizontal="left" vertical="center"/>
    </xf>
    <xf numFmtId="2" fontId="41" fillId="2" borderId="6" xfId="1" applyNumberFormat="1" applyFont="1" applyFill="1" applyBorder="1" applyAlignment="1">
      <alignment horizontal="left" vertical="center"/>
    </xf>
    <xf numFmtId="0" fontId="52" fillId="2" borderId="11" xfId="1" applyNumberFormat="1" applyFont="1" applyFill="1" applyBorder="1" applyAlignment="1">
      <alignment horizontal="center" vertical="center" wrapText="1"/>
    </xf>
    <xf numFmtId="1" fontId="42" fillId="2" borderId="6" xfId="1" applyNumberFormat="1" applyFont="1" applyFill="1" applyBorder="1" applyAlignment="1">
      <alignment horizontal="center" vertical="center"/>
    </xf>
    <xf numFmtId="1" fontId="41" fillId="2" borderId="17" xfId="1" applyNumberFormat="1" applyFont="1" applyFill="1" applyBorder="1" applyAlignment="1">
      <alignment horizontal="center" vertical="center" wrapText="1"/>
    </xf>
    <xf numFmtId="1" fontId="58" fillId="2" borderId="11" xfId="1" applyNumberFormat="1" applyFont="1" applyFill="1" applyBorder="1" applyAlignment="1">
      <alignment horizontal="center" vertical="center"/>
    </xf>
    <xf numFmtId="1" fontId="52" fillId="2" borderId="17" xfId="1" applyNumberFormat="1" applyFont="1" applyFill="1" applyBorder="1" applyAlignment="1">
      <alignment horizontal="center" vertical="center"/>
    </xf>
    <xf numFmtId="0" fontId="52" fillId="2" borderId="11" xfId="1" applyFont="1" applyFill="1" applyBorder="1" applyAlignment="1">
      <alignment horizontal="center" vertical="center"/>
    </xf>
    <xf numFmtId="2" fontId="58" fillId="2" borderId="16" xfId="1" applyNumberFormat="1" applyFont="1" applyFill="1" applyBorder="1" applyAlignment="1">
      <alignment horizontal="center" vertical="center"/>
    </xf>
    <xf numFmtId="1" fontId="42" fillId="2" borderId="17" xfId="1" applyNumberFormat="1" applyFont="1" applyFill="1" applyBorder="1" applyAlignment="1">
      <alignment horizontal="right" vertical="center"/>
    </xf>
    <xf numFmtId="2" fontId="52" fillId="2" borderId="6" xfId="1" applyNumberFormat="1" applyFont="1" applyFill="1" applyBorder="1" applyAlignment="1">
      <alignment horizontal="center" vertical="center"/>
    </xf>
    <xf numFmtId="0" fontId="58" fillId="2" borderId="17" xfId="1" applyFont="1" applyFill="1" applyBorder="1" applyAlignment="1">
      <alignment vertical="center"/>
    </xf>
    <xf numFmtId="0" fontId="41" fillId="0" borderId="1" xfId="0" applyNumberFormat="1" applyFont="1" applyFill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49" fontId="41" fillId="2" borderId="1" xfId="0" applyNumberFormat="1" applyFont="1" applyFill="1" applyBorder="1" applyAlignment="1">
      <alignment horizontal="center" vertical="center" wrapText="1"/>
    </xf>
    <xf numFmtId="49" fontId="41" fillId="2" borderId="1" xfId="0" applyNumberFormat="1" applyFont="1" applyFill="1" applyBorder="1" applyAlignment="1">
      <alignment horizontal="left" vertical="center" wrapText="1"/>
    </xf>
    <xf numFmtId="2" fontId="41" fillId="15" borderId="1" xfId="0" applyNumberFormat="1" applyFont="1" applyFill="1" applyBorder="1" applyAlignment="1">
      <alignment horizontal="left" vertical="center"/>
    </xf>
    <xf numFmtId="1" fontId="41" fillId="15" borderId="1" xfId="0" applyNumberFormat="1" applyFont="1" applyFill="1" applyBorder="1" applyAlignment="1">
      <alignment horizontal="center" vertical="center"/>
    </xf>
    <xf numFmtId="49" fontId="41" fillId="15" borderId="1" xfId="0" applyNumberFormat="1" applyFont="1" applyFill="1" applyBorder="1" applyAlignment="1">
      <alignment vertical="center"/>
    </xf>
    <xf numFmtId="0" fontId="48" fillId="15" borderId="1" xfId="0" applyNumberFormat="1" applyFont="1" applyFill="1" applyBorder="1" applyAlignment="1">
      <alignment horizontal="left" vertical="center" wrapText="1"/>
    </xf>
    <xf numFmtId="0" fontId="44" fillId="15" borderId="1" xfId="0" applyNumberFormat="1" applyFont="1" applyFill="1" applyBorder="1" applyAlignment="1">
      <alignment horizontal="center" vertical="center" wrapText="1"/>
    </xf>
    <xf numFmtId="0" fontId="41" fillId="15" borderId="1" xfId="0" applyNumberFormat="1" applyFont="1" applyFill="1" applyBorder="1" applyAlignment="1">
      <alignment vertical="center" wrapText="1"/>
    </xf>
    <xf numFmtId="2" fontId="41" fillId="2" borderId="29" xfId="0" applyNumberFormat="1" applyFont="1" applyFill="1" applyBorder="1" applyAlignment="1">
      <alignment horizontal="center" vertical="center"/>
    </xf>
    <xf numFmtId="2" fontId="41" fillId="2" borderId="30" xfId="0" applyNumberFormat="1" applyFont="1" applyFill="1" applyBorder="1" applyAlignment="1">
      <alignment vertical="center"/>
    </xf>
    <xf numFmtId="0" fontId="41" fillId="15" borderId="1" xfId="0" applyFont="1" applyFill="1" applyBorder="1" applyAlignment="1">
      <alignment vertical="center"/>
    </xf>
    <xf numFmtId="0" fontId="44" fillId="15" borderId="2" xfId="0" applyFont="1" applyFill="1" applyBorder="1" applyAlignment="1">
      <alignment vertical="center" wrapText="1"/>
    </xf>
    <xf numFmtId="0" fontId="41" fillId="0" borderId="1" xfId="0" applyFont="1" applyBorder="1" applyAlignment="1">
      <alignment vertical="center"/>
    </xf>
    <xf numFmtId="0" fontId="50" fillId="0" borderId="1" xfId="0" applyFont="1" applyFill="1" applyBorder="1" applyAlignment="1">
      <alignment vertical="center"/>
    </xf>
    <xf numFmtId="0" fontId="41" fillId="2" borderId="8" xfId="0" applyNumberFormat="1" applyFont="1" applyFill="1" applyBorder="1" applyAlignment="1">
      <alignment horizontal="right" vertical="center"/>
    </xf>
    <xf numFmtId="0" fontId="41" fillId="2" borderId="18" xfId="0" applyNumberFormat="1" applyFont="1" applyFill="1" applyBorder="1" applyAlignment="1">
      <alignment horizontal="left" vertical="center"/>
    </xf>
    <xf numFmtId="0" fontId="41" fillId="2" borderId="20" xfId="0" applyNumberFormat="1" applyFont="1" applyFill="1" applyBorder="1" applyAlignment="1">
      <alignment horizontal="left" vertical="center"/>
    </xf>
    <xf numFmtId="2" fontId="41" fillId="0" borderId="1" xfId="0" applyNumberFormat="1" applyFont="1" applyFill="1" applyBorder="1" applyAlignment="1">
      <alignment horizontal="center" vertical="center"/>
    </xf>
    <xf numFmtId="2" fontId="41" fillId="0" borderId="7" xfId="0" applyNumberFormat="1" applyFont="1" applyFill="1" applyBorder="1" applyAlignment="1">
      <alignment horizontal="center" vertical="center"/>
    </xf>
    <xf numFmtId="2" fontId="41" fillId="0" borderId="18" xfId="0" applyNumberFormat="1" applyFont="1" applyFill="1" applyBorder="1" applyAlignment="1">
      <alignment horizontal="center" vertical="center"/>
    </xf>
    <xf numFmtId="2" fontId="41" fillId="0" borderId="21" xfId="0" applyNumberFormat="1" applyFont="1" applyFill="1" applyBorder="1" applyAlignment="1">
      <alignment horizontal="center" vertical="center"/>
    </xf>
    <xf numFmtId="2" fontId="41" fillId="0" borderId="18" xfId="0" applyNumberFormat="1" applyFont="1" applyFill="1" applyBorder="1" applyAlignment="1">
      <alignment horizontal="left" vertical="center"/>
    </xf>
    <xf numFmtId="1" fontId="41" fillId="0" borderId="20" xfId="0" applyNumberFormat="1" applyFont="1" applyFill="1" applyBorder="1" applyAlignment="1">
      <alignment horizontal="left" vertical="center"/>
    </xf>
    <xf numFmtId="0" fontId="42" fillId="7" borderId="14" xfId="0" applyFont="1" applyFill="1" applyBorder="1" applyAlignment="1">
      <alignment horizontal="center" vertical="center"/>
    </xf>
    <xf numFmtId="0" fontId="41" fillId="2" borderId="13" xfId="0" applyFont="1" applyFill="1" applyBorder="1" applyAlignment="1">
      <alignment horizontal="left" vertical="center"/>
    </xf>
    <xf numFmtId="1" fontId="41" fillId="2" borderId="8" xfId="0" applyNumberFormat="1" applyFont="1" applyFill="1" applyBorder="1" applyAlignment="1">
      <alignment horizontal="right" vertical="center"/>
    </xf>
    <xf numFmtId="2" fontId="41" fillId="2" borderId="8" xfId="0" applyNumberFormat="1" applyFont="1" applyFill="1" applyBorder="1" applyAlignment="1">
      <alignment horizontal="left" vertical="center"/>
    </xf>
    <xf numFmtId="1" fontId="41" fillId="2" borderId="31" xfId="0" applyNumberFormat="1" applyFont="1" applyFill="1" applyBorder="1" applyAlignment="1">
      <alignment horizontal="left" vertical="center"/>
    </xf>
    <xf numFmtId="2" fontId="41" fillId="2" borderId="7" xfId="0" applyNumberFormat="1" applyFont="1" applyFill="1" applyBorder="1" applyAlignment="1">
      <alignment horizontal="left" vertical="center"/>
    </xf>
    <xf numFmtId="49" fontId="41" fillId="2" borderId="21" xfId="0" applyNumberFormat="1" applyFont="1" applyFill="1" applyBorder="1" applyAlignment="1">
      <alignment horizontal="right" vertical="center"/>
    </xf>
    <xf numFmtId="49" fontId="41" fillId="2" borderId="18" xfId="0" applyNumberFormat="1" applyFont="1" applyFill="1" applyBorder="1" applyAlignment="1">
      <alignment horizontal="left" vertical="center"/>
    </xf>
    <xf numFmtId="49" fontId="41" fillId="2" borderId="18" xfId="0" applyNumberFormat="1" applyFont="1" applyFill="1" applyBorder="1" applyAlignment="1">
      <alignment horizontal="center" vertical="center"/>
    </xf>
    <xf numFmtId="0" fontId="41" fillId="2" borderId="20" xfId="0" applyNumberFormat="1" applyFont="1" applyFill="1" applyBorder="1" applyAlignment="1">
      <alignment horizontal="left" vertical="center" wrapText="1"/>
    </xf>
    <xf numFmtId="0" fontId="41" fillId="2" borderId="9" xfId="0" applyNumberFormat="1" applyFont="1" applyFill="1" applyBorder="1" applyAlignment="1">
      <alignment horizontal="left" vertical="center" wrapText="1"/>
    </xf>
    <xf numFmtId="49" fontId="51" fillId="2" borderId="9" xfId="0" applyNumberFormat="1" applyFont="1" applyFill="1" applyBorder="1" applyAlignment="1">
      <alignment vertical="center" wrapText="1"/>
    </xf>
    <xf numFmtId="0" fontId="44" fillId="12" borderId="1" xfId="0" applyNumberFormat="1" applyFont="1" applyFill="1" applyBorder="1" applyAlignment="1">
      <alignment horizontal="center" vertical="center"/>
    </xf>
    <xf numFmtId="1" fontId="44" fillId="15" borderId="2" xfId="0" applyNumberFormat="1" applyFont="1" applyFill="1" applyBorder="1" applyAlignment="1">
      <alignment horizontal="center" vertical="center"/>
    </xf>
    <xf numFmtId="2" fontId="41" fillId="23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1" fontId="41" fillId="2" borderId="8" xfId="0" applyNumberFormat="1" applyFont="1" applyFill="1" applyBorder="1" applyAlignment="1">
      <alignment horizontal="center" vertical="center" wrapText="1"/>
    </xf>
    <xf numFmtId="1" fontId="41" fillId="2" borderId="8" xfId="0" applyNumberFormat="1" applyFont="1" applyFill="1" applyBorder="1" applyAlignment="1">
      <alignment horizontal="left" vertical="center" wrapText="1"/>
    </xf>
    <xf numFmtId="49" fontId="41" fillId="2" borderId="21" xfId="0" applyNumberFormat="1" applyFont="1" applyFill="1" applyBorder="1" applyAlignment="1">
      <alignment horizontal="right" vertical="center" wrapText="1"/>
    </xf>
    <xf numFmtId="49" fontId="41" fillId="0" borderId="18" xfId="0" applyNumberFormat="1" applyFont="1" applyFill="1" applyBorder="1" applyAlignment="1">
      <alignment horizontal="left" vertical="center"/>
    </xf>
    <xf numFmtId="49" fontId="41" fillId="0" borderId="32" xfId="0" applyNumberFormat="1" applyFont="1" applyFill="1" applyBorder="1" applyAlignment="1">
      <alignment horizontal="center" vertical="center" wrapText="1"/>
    </xf>
    <xf numFmtId="0" fontId="41" fillId="0" borderId="20" xfId="0" applyNumberFormat="1" applyFont="1" applyFill="1" applyBorder="1" applyAlignment="1">
      <alignment horizontal="left" vertical="center" wrapText="1"/>
    </xf>
    <xf numFmtId="0" fontId="42" fillId="0" borderId="14" xfId="0" applyFont="1" applyFill="1" applyBorder="1" applyAlignment="1">
      <alignment horizontal="center" vertical="center"/>
    </xf>
    <xf numFmtId="0" fontId="52" fillId="2" borderId="13" xfId="0" applyFont="1" applyFill="1" applyBorder="1" applyAlignment="1">
      <alignment horizontal="left" vertical="center"/>
    </xf>
    <xf numFmtId="1" fontId="41" fillId="2" borderId="7" xfId="0" applyNumberFormat="1" applyFont="1" applyFill="1" applyBorder="1" applyAlignment="1">
      <alignment horizontal="right" vertical="center" wrapText="1"/>
    </xf>
    <xf numFmtId="0" fontId="41" fillId="2" borderId="9" xfId="0" applyFont="1" applyFill="1" applyBorder="1" applyAlignment="1">
      <alignment horizontal="left" vertical="center"/>
    </xf>
    <xf numFmtId="49" fontId="41" fillId="2" borderId="32" xfId="0" applyNumberFormat="1" applyFont="1" applyFill="1" applyBorder="1" applyAlignment="1">
      <alignment horizontal="center" vertical="center" wrapText="1"/>
    </xf>
    <xf numFmtId="49" fontId="51" fillId="2" borderId="9" xfId="0" applyNumberFormat="1" applyFont="1" applyFill="1" applyBorder="1" applyAlignment="1">
      <alignment vertical="center"/>
    </xf>
    <xf numFmtId="0" fontId="53" fillId="0" borderId="1" xfId="0" applyNumberFormat="1" applyFont="1" applyFill="1" applyBorder="1" applyAlignment="1">
      <alignment horizontal="center" vertical="center"/>
    </xf>
    <xf numFmtId="0" fontId="44" fillId="15" borderId="2" xfId="0" applyFont="1" applyFill="1" applyBorder="1" applyAlignment="1">
      <alignment horizontal="center" vertical="center"/>
    </xf>
    <xf numFmtId="0" fontId="41" fillId="33" borderId="1" xfId="0" applyNumberFormat="1" applyFont="1" applyFill="1" applyBorder="1" applyAlignment="1">
      <alignment horizontal="left" vertical="center" wrapText="1"/>
    </xf>
    <xf numFmtId="1" fontId="41" fillId="2" borderId="7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1" fillId="4" borderId="1" xfId="0" applyFont="1" applyFill="1" applyBorder="1" applyAlignment="1">
      <alignment vertical="center"/>
    </xf>
    <xf numFmtId="0" fontId="41" fillId="2" borderId="14" xfId="0" applyNumberFormat="1" applyFont="1" applyFill="1" applyBorder="1" applyAlignment="1">
      <alignment horizontal="center" vertical="center"/>
    </xf>
    <xf numFmtId="0" fontId="41" fillId="2" borderId="15" xfId="0" applyNumberFormat="1" applyFont="1" applyFill="1" applyBorder="1" applyAlignment="1">
      <alignment horizontal="center" vertical="center" wrapText="1"/>
    </xf>
    <xf numFmtId="0" fontId="41" fillId="2" borderId="13" xfId="0" applyNumberFormat="1" applyFont="1" applyFill="1" applyBorder="1" applyAlignment="1">
      <alignment horizontal="center" vertical="center"/>
    </xf>
    <xf numFmtId="1" fontId="42" fillId="2" borderId="7" xfId="0" applyNumberFormat="1" applyFont="1" applyFill="1" applyBorder="1" applyAlignment="1">
      <alignment horizontal="right" vertical="center"/>
    </xf>
    <xf numFmtId="2" fontId="52" fillId="2" borderId="1" xfId="0" applyNumberFormat="1" applyFont="1" applyFill="1" applyBorder="1" applyAlignment="1">
      <alignment horizontal="center" vertical="center"/>
    </xf>
    <xf numFmtId="0" fontId="41" fillId="2" borderId="14" xfId="0" applyFont="1" applyFill="1" applyBorder="1" applyAlignment="1">
      <alignment vertical="center"/>
    </xf>
    <xf numFmtId="0" fontId="41" fillId="2" borderId="13" xfId="0" applyFont="1" applyFill="1" applyBorder="1" applyAlignment="1">
      <alignment vertical="center"/>
    </xf>
    <xf numFmtId="1" fontId="42" fillId="2" borderId="8" xfId="0" applyNumberFormat="1" applyFont="1" applyFill="1" applyBorder="1" applyAlignment="1">
      <alignment horizontal="center" vertical="center"/>
    </xf>
    <xf numFmtId="1" fontId="42" fillId="2" borderId="24" xfId="0" applyNumberFormat="1" applyFont="1" applyFill="1" applyBorder="1" applyAlignment="1">
      <alignment horizontal="center" vertical="center" wrapText="1"/>
    </xf>
    <xf numFmtId="0" fontId="41" fillId="2" borderId="13" xfId="0" applyNumberFormat="1" applyFont="1" applyFill="1" applyBorder="1" applyAlignment="1">
      <alignment horizontal="center" vertical="center" wrapText="1"/>
    </xf>
    <xf numFmtId="0" fontId="41" fillId="2" borderId="8" xfId="0" applyNumberFormat="1" applyFont="1" applyFill="1" applyBorder="1" applyAlignment="1">
      <alignment horizontal="center" vertical="center" wrapText="1"/>
    </xf>
    <xf numFmtId="0" fontId="41" fillId="2" borderId="9" xfId="0" applyNumberFormat="1" applyFont="1" applyFill="1" applyBorder="1" applyAlignment="1">
      <alignment horizontal="center" vertical="center"/>
    </xf>
    <xf numFmtId="0" fontId="41" fillId="2" borderId="12" xfId="0" applyNumberFormat="1" applyFont="1" applyFill="1" applyBorder="1" applyAlignment="1">
      <alignment horizontal="left" vertical="center" wrapText="1"/>
    </xf>
    <xf numFmtId="0" fontId="41" fillId="15" borderId="25" xfId="0" applyNumberFormat="1" applyFont="1" applyFill="1" applyBorder="1" applyAlignment="1">
      <alignment vertical="center" wrapText="1"/>
    </xf>
    <xf numFmtId="0" fontId="41" fillId="2" borderId="24" xfId="0" applyNumberFormat="1" applyFont="1" applyFill="1" applyBorder="1" applyAlignment="1">
      <alignment horizontal="left" vertical="center" wrapText="1"/>
    </xf>
    <xf numFmtId="0" fontId="41" fillId="2" borderId="20" xfId="0" applyNumberFormat="1" applyFont="1" applyFill="1" applyBorder="1" applyAlignment="1">
      <alignment horizontal="right" vertical="center" wrapText="1"/>
    </xf>
    <xf numFmtId="0" fontId="41" fillId="2" borderId="31" xfId="0" applyNumberFormat="1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left" vertical="center" wrapText="1"/>
    </xf>
    <xf numFmtId="2" fontId="16" fillId="15" borderId="1" xfId="0" applyNumberFormat="1" applyFont="1" applyFill="1" applyBorder="1" applyAlignment="1">
      <alignment horizontal="left" vertical="center"/>
    </xf>
    <xf numFmtId="1" fontId="16" fillId="15" borderId="1" xfId="0" applyNumberFormat="1" applyFont="1" applyFill="1" applyBorder="1" applyAlignment="1">
      <alignment horizontal="center" vertical="center"/>
    </xf>
    <xf numFmtId="49" fontId="16" fillId="15" borderId="1" xfId="0" applyNumberFormat="1" applyFont="1" applyFill="1" applyBorder="1" applyAlignment="1">
      <alignment vertical="center"/>
    </xf>
    <xf numFmtId="0" fontId="63" fillId="15" borderId="1" xfId="0" applyNumberFormat="1" applyFont="1" applyFill="1" applyBorder="1" applyAlignment="1">
      <alignment horizontal="left" vertical="center" wrapText="1"/>
    </xf>
    <xf numFmtId="0" fontId="39" fillId="15" borderId="1" xfId="0" applyNumberFormat="1" applyFont="1" applyFill="1" applyBorder="1" applyAlignment="1">
      <alignment horizontal="center" vertical="center" wrapText="1"/>
    </xf>
    <xf numFmtId="0" fontId="16" fillId="15" borderId="1" xfId="0" applyNumberFormat="1" applyFont="1" applyFill="1" applyBorder="1" applyAlignment="1">
      <alignment vertical="center" wrapText="1"/>
    </xf>
    <xf numFmtId="2" fontId="16" fillId="2" borderId="29" xfId="0" applyNumberFormat="1" applyFont="1" applyFill="1" applyBorder="1" applyAlignment="1">
      <alignment horizontal="center" vertical="center"/>
    </xf>
    <xf numFmtId="2" fontId="16" fillId="2" borderId="30" xfId="0" applyNumberFormat="1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39" fillId="15" borderId="2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8" xfId="0" applyNumberFormat="1" applyFont="1" applyFill="1" applyBorder="1" applyAlignment="1">
      <alignment horizontal="right" vertical="center"/>
    </xf>
    <xf numFmtId="0" fontId="16" fillId="2" borderId="18" xfId="0" applyNumberFormat="1" applyFont="1" applyFill="1" applyBorder="1" applyAlignment="1">
      <alignment horizontal="left" vertical="center"/>
    </xf>
    <xf numFmtId="0" fontId="16" fillId="2" borderId="20" xfId="0" applyNumberFormat="1" applyFont="1" applyFill="1" applyBorder="1" applyAlignment="1">
      <alignment horizontal="left" vertical="center"/>
    </xf>
    <xf numFmtId="2" fontId="16" fillId="0" borderId="1" xfId="0" applyNumberFormat="1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2" fontId="16" fillId="0" borderId="18" xfId="0" applyNumberFormat="1" applyFont="1" applyFill="1" applyBorder="1" applyAlignment="1">
      <alignment horizontal="center" vertical="center"/>
    </xf>
    <xf numFmtId="2" fontId="16" fillId="0" borderId="21" xfId="0" applyNumberFormat="1" applyFont="1" applyFill="1" applyBorder="1" applyAlignment="1">
      <alignment horizontal="center" vertical="center"/>
    </xf>
    <xf numFmtId="2" fontId="16" fillId="0" borderId="18" xfId="0" applyNumberFormat="1" applyFont="1" applyFill="1" applyBorder="1" applyAlignment="1">
      <alignment horizontal="left" vertical="center"/>
    </xf>
    <xf numFmtId="1" fontId="16" fillId="0" borderId="20" xfId="0" applyNumberFormat="1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left" vertical="center"/>
    </xf>
    <xf numFmtId="1" fontId="16" fillId="2" borderId="8" xfId="0" applyNumberFormat="1" applyFont="1" applyFill="1" applyBorder="1" applyAlignment="1">
      <alignment horizontal="right" vertical="center"/>
    </xf>
    <xf numFmtId="2" fontId="16" fillId="2" borderId="8" xfId="0" applyNumberFormat="1" applyFont="1" applyFill="1" applyBorder="1" applyAlignment="1">
      <alignment horizontal="left" vertical="center"/>
    </xf>
    <xf numFmtId="1" fontId="16" fillId="2" borderId="31" xfId="0" applyNumberFormat="1" applyFont="1" applyFill="1" applyBorder="1" applyAlignment="1">
      <alignment horizontal="left" vertical="center"/>
    </xf>
    <xf numFmtId="2" fontId="16" fillId="2" borderId="7" xfId="0" applyNumberFormat="1" applyFont="1" applyFill="1" applyBorder="1" applyAlignment="1">
      <alignment horizontal="left" vertical="center"/>
    </xf>
    <xf numFmtId="49" fontId="16" fillId="2" borderId="21" xfId="0" applyNumberFormat="1" applyFont="1" applyFill="1" applyBorder="1" applyAlignment="1">
      <alignment horizontal="right" vertical="center"/>
    </xf>
    <xf numFmtId="49" fontId="16" fillId="2" borderId="18" xfId="0" applyNumberFormat="1" applyFont="1" applyFill="1" applyBorder="1" applyAlignment="1">
      <alignment horizontal="left" vertical="center"/>
    </xf>
    <xf numFmtId="49" fontId="16" fillId="2" borderId="18" xfId="0" applyNumberFormat="1" applyFont="1" applyFill="1" applyBorder="1" applyAlignment="1">
      <alignment horizontal="center" vertical="center"/>
    </xf>
    <xf numFmtId="0" fontId="16" fillId="2" borderId="20" xfId="0" applyNumberFormat="1" applyFont="1" applyFill="1" applyBorder="1" applyAlignment="1">
      <alignment horizontal="left" vertical="center" wrapText="1"/>
    </xf>
    <xf numFmtId="0" fontId="16" fillId="2" borderId="9" xfId="0" applyNumberFormat="1" applyFont="1" applyFill="1" applyBorder="1" applyAlignment="1">
      <alignment horizontal="left" vertical="center" wrapText="1"/>
    </xf>
    <xf numFmtId="49" fontId="64" fillId="2" borderId="9" xfId="0" applyNumberFormat="1" applyFont="1" applyFill="1" applyBorder="1" applyAlignment="1">
      <alignment vertical="center" wrapText="1"/>
    </xf>
    <xf numFmtId="0" fontId="39" fillId="1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 wrapText="1"/>
    </xf>
    <xf numFmtId="1" fontId="39" fillId="15" borderId="2" xfId="0" applyNumberFormat="1" applyFont="1" applyFill="1" applyBorder="1" applyAlignment="1">
      <alignment horizontal="center" vertical="center"/>
    </xf>
    <xf numFmtId="2" fontId="16" fillId="23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" fontId="16" fillId="2" borderId="8" xfId="0" applyNumberFormat="1" applyFont="1" applyFill="1" applyBorder="1" applyAlignment="1">
      <alignment horizontal="right" vertical="center" wrapText="1"/>
    </xf>
    <xf numFmtId="1" fontId="16" fillId="2" borderId="8" xfId="0" applyNumberFormat="1" applyFont="1" applyFill="1" applyBorder="1" applyAlignment="1">
      <alignment horizontal="left" vertical="center" wrapText="1"/>
    </xf>
    <xf numFmtId="49" fontId="16" fillId="2" borderId="21" xfId="0" applyNumberFormat="1" applyFont="1" applyFill="1" applyBorder="1" applyAlignment="1">
      <alignment horizontal="right" vertical="center" wrapText="1"/>
    </xf>
    <xf numFmtId="49" fontId="16" fillId="0" borderId="18" xfId="0" applyNumberFormat="1" applyFont="1" applyFill="1" applyBorder="1" applyAlignment="1">
      <alignment horizontal="left" vertical="center"/>
    </xf>
    <xf numFmtId="49" fontId="16" fillId="0" borderId="32" xfId="0" applyNumberFormat="1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/>
    </xf>
    <xf numFmtId="1" fontId="16" fillId="2" borderId="7" xfId="0" applyNumberFormat="1" applyFont="1" applyFill="1" applyBorder="1" applyAlignment="1">
      <alignment horizontal="right" vertical="center" wrapText="1"/>
    </xf>
    <xf numFmtId="0" fontId="16" fillId="2" borderId="9" xfId="0" applyFont="1" applyFill="1" applyBorder="1" applyAlignment="1">
      <alignment horizontal="left" vertical="center"/>
    </xf>
    <xf numFmtId="49" fontId="16" fillId="2" borderId="32" xfId="0" applyNumberFormat="1" applyFont="1" applyFill="1" applyBorder="1" applyAlignment="1">
      <alignment horizontal="center" vertical="center" wrapText="1"/>
    </xf>
    <xf numFmtId="49" fontId="64" fillId="2" borderId="9" xfId="0" applyNumberFormat="1" applyFont="1" applyFill="1" applyBorder="1" applyAlignment="1">
      <alignment vertical="center"/>
    </xf>
    <xf numFmtId="0" fontId="65" fillId="4" borderId="1" xfId="0" applyNumberFormat="1" applyFont="1" applyFill="1" applyBorder="1" applyAlignment="1">
      <alignment horizontal="center" vertical="center"/>
    </xf>
    <xf numFmtId="0" fontId="39" fillId="15" borderId="2" xfId="0" applyFont="1" applyFill="1" applyBorder="1" applyAlignment="1">
      <alignment horizontal="center" vertical="center"/>
    </xf>
    <xf numFmtId="0" fontId="16" fillId="33" borderId="1" xfId="0" applyNumberFormat="1" applyFont="1" applyFill="1" applyBorder="1" applyAlignment="1">
      <alignment horizontal="left" vertical="center" wrapText="1"/>
    </xf>
    <xf numFmtId="1" fontId="16" fillId="2" borderId="7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6" fillId="2" borderId="14" xfId="0" applyNumberFormat="1" applyFont="1" applyFill="1" applyBorder="1" applyAlignment="1">
      <alignment horizontal="center" vertical="center"/>
    </xf>
    <xf numFmtId="0" fontId="16" fillId="2" borderId="15" xfId="0" applyNumberFormat="1" applyFont="1" applyFill="1" applyBorder="1" applyAlignment="1">
      <alignment horizontal="center" vertical="center" wrapText="1"/>
    </xf>
    <xf numFmtId="0" fontId="16" fillId="2" borderId="13" xfId="0" applyNumberFormat="1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right" vertical="center"/>
    </xf>
    <xf numFmtId="2" fontId="22" fillId="2" borderId="1" xfId="0" applyNumberFormat="1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vertical="center"/>
    </xf>
    <xf numFmtId="0" fontId="16" fillId="2" borderId="13" xfId="0" applyFont="1" applyFill="1" applyBorder="1" applyAlignment="1">
      <alignment vertical="center"/>
    </xf>
    <xf numFmtId="1" fontId="8" fillId="2" borderId="8" xfId="0" applyNumberFormat="1" applyFont="1" applyFill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 vertical="center" wrapText="1"/>
    </xf>
    <xf numFmtId="0" fontId="16" fillId="2" borderId="13" xfId="0" applyNumberFormat="1" applyFont="1" applyFill="1" applyBorder="1" applyAlignment="1">
      <alignment horizontal="center" vertical="center" wrapText="1"/>
    </xf>
    <xf numFmtId="0" fontId="16" fillId="2" borderId="8" xfId="0" applyNumberFormat="1" applyFont="1" applyFill="1" applyBorder="1" applyAlignment="1">
      <alignment horizontal="center" vertical="center"/>
    </xf>
    <xf numFmtId="0" fontId="16" fillId="2" borderId="9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left" vertical="center"/>
    </xf>
    <xf numFmtId="0" fontId="16" fillId="2" borderId="1" xfId="0" applyNumberFormat="1" applyFont="1" applyFill="1" applyBorder="1" applyAlignment="1">
      <alignment vertical="center"/>
    </xf>
    <xf numFmtId="0" fontId="16" fillId="2" borderId="12" xfId="0" applyNumberFormat="1" applyFont="1" applyFill="1" applyBorder="1" applyAlignment="1">
      <alignment horizontal="left" vertical="center" wrapText="1"/>
    </xf>
    <xf numFmtId="0" fontId="16" fillId="15" borderId="25" xfId="0" applyNumberFormat="1" applyFont="1" applyFill="1" applyBorder="1" applyAlignment="1">
      <alignment vertical="center" wrapText="1"/>
    </xf>
    <xf numFmtId="0" fontId="16" fillId="2" borderId="24" xfId="0" applyNumberFormat="1" applyFont="1" applyFill="1" applyBorder="1" applyAlignment="1">
      <alignment horizontal="left" vertical="center" wrapText="1"/>
    </xf>
    <xf numFmtId="0" fontId="16" fillId="2" borderId="20" xfId="0" applyNumberFormat="1" applyFont="1" applyFill="1" applyBorder="1" applyAlignment="1">
      <alignment horizontal="right" vertical="center" wrapText="1"/>
    </xf>
    <xf numFmtId="0" fontId="16" fillId="2" borderId="3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0" fontId="16" fillId="13" borderId="8" xfId="0" applyFont="1" applyFill="1" applyBorder="1" applyAlignment="1">
      <alignment vertical="center"/>
    </xf>
    <xf numFmtId="0" fontId="16" fillId="4" borderId="1" xfId="0" applyFont="1" applyFill="1" applyBorder="1" applyAlignment="1">
      <alignment vertical="center"/>
    </xf>
    <xf numFmtId="0" fontId="16" fillId="2" borderId="8" xfId="0" applyNumberFormat="1" applyFont="1" applyFill="1" applyBorder="1" applyAlignment="1">
      <alignment horizontal="center" vertical="center" wrapText="1"/>
    </xf>
    <xf numFmtId="0" fontId="42" fillId="0" borderId="17" xfId="1" applyNumberFormat="1" applyFont="1" applyBorder="1" applyAlignment="1">
      <alignment wrapText="1"/>
    </xf>
    <xf numFmtId="0" fontId="71" fillId="0" borderId="0" xfId="1" applyFont="1" applyAlignment="1">
      <alignment vertical="center"/>
    </xf>
    <xf numFmtId="0" fontId="71" fillId="0" borderId="0" xfId="1" applyFont="1"/>
    <xf numFmtId="0" fontId="71" fillId="0" borderId="0" xfId="1" applyFont="1" applyBorder="1"/>
    <xf numFmtId="0" fontId="71" fillId="0" borderId="0" xfId="1" applyFont="1" applyAlignment="1">
      <alignment horizontal="left"/>
    </xf>
    <xf numFmtId="1" fontId="72" fillId="2" borderId="0" xfId="1" applyNumberFormat="1" applyFont="1" applyFill="1" applyBorder="1" applyAlignment="1">
      <alignment horizontal="center"/>
    </xf>
    <xf numFmtId="0" fontId="72" fillId="0" borderId="0" xfId="1" quotePrefix="1" applyNumberFormat="1" applyFont="1" applyAlignment="1">
      <alignment horizontal="center" wrapText="1"/>
    </xf>
    <xf numFmtId="0" fontId="71" fillId="2" borderId="0" xfId="1" applyFont="1" applyFill="1" applyBorder="1" applyAlignment="1">
      <alignment horizontal="right"/>
    </xf>
    <xf numFmtId="0" fontId="72" fillId="2" borderId="0" xfId="1" applyFont="1" applyFill="1" applyBorder="1" applyAlignment="1">
      <alignment horizontal="center"/>
    </xf>
    <xf numFmtId="0" fontId="72" fillId="2" borderId="0" xfId="1" applyFont="1" applyFill="1" applyBorder="1" applyAlignment="1">
      <alignment horizontal="left"/>
    </xf>
    <xf numFmtId="0" fontId="72" fillId="2" borderId="0" xfId="1" applyFont="1" applyFill="1" applyBorder="1" applyAlignment="1">
      <alignment horizontal="right"/>
    </xf>
    <xf numFmtId="0" fontId="71" fillId="0" borderId="0" xfId="1" applyFont="1" applyAlignment="1">
      <alignment horizontal="center" wrapText="1"/>
    </xf>
    <xf numFmtId="0" fontId="71" fillId="0" borderId="0" xfId="1" applyFont="1" applyAlignment="1">
      <alignment horizontal="center"/>
    </xf>
    <xf numFmtId="2" fontId="73" fillId="2" borderId="0" xfId="1" applyNumberFormat="1" applyFont="1" applyFill="1" applyBorder="1" applyAlignment="1">
      <alignment horizontal="right" vertical="center"/>
    </xf>
    <xf numFmtId="0" fontId="71" fillId="2" borderId="0" xfId="1" applyFont="1" applyFill="1" applyBorder="1" applyAlignment="1">
      <alignment horizontal="center"/>
    </xf>
    <xf numFmtId="0" fontId="71" fillId="2" borderId="0" xfId="1" applyFont="1" applyFill="1" applyBorder="1" applyAlignment="1">
      <alignment horizontal="left"/>
    </xf>
    <xf numFmtId="0" fontId="71" fillId="15" borderId="0" xfId="1" applyFont="1" applyFill="1" applyAlignment="1">
      <alignment horizontal="left"/>
    </xf>
    <xf numFmtId="0" fontId="71" fillId="0" borderId="0" xfId="1" applyFont="1" applyAlignment="1">
      <alignment horizontal="left" wrapText="1"/>
    </xf>
    <xf numFmtId="0" fontId="71" fillId="0" borderId="0" xfId="1" applyFont="1" applyAlignment="1">
      <alignment wrapText="1"/>
    </xf>
    <xf numFmtId="0" fontId="71" fillId="0" borderId="0" xfId="1" applyFont="1" applyAlignment="1">
      <alignment horizontal="right"/>
    </xf>
    <xf numFmtId="0" fontId="72" fillId="0" borderId="1" xfId="1" applyFont="1" applyBorder="1" applyAlignment="1">
      <alignment horizontal="center" vertical="center" wrapText="1"/>
    </xf>
    <xf numFmtId="0" fontId="72" fillId="16" borderId="1" xfId="1" applyFont="1" applyFill="1" applyBorder="1" applyAlignment="1">
      <alignment horizontal="center" vertical="center" wrapText="1"/>
    </xf>
    <xf numFmtId="0" fontId="72" fillId="0" borderId="6" xfId="1" applyFont="1" applyBorder="1" applyAlignment="1">
      <alignment vertical="center" wrapText="1"/>
    </xf>
    <xf numFmtId="0" fontId="71" fillId="2" borderId="0" xfId="1" applyFont="1" applyFill="1" applyAlignment="1">
      <alignment horizontal="right" vertical="center"/>
    </xf>
    <xf numFmtId="0" fontId="71" fillId="2" borderId="0" xfId="1" applyFont="1" applyFill="1" applyAlignment="1">
      <alignment horizontal="left" vertical="center"/>
    </xf>
    <xf numFmtId="0" fontId="72" fillId="0" borderId="10" xfId="1" applyFont="1" applyBorder="1" applyAlignment="1">
      <alignment vertical="center" wrapText="1"/>
    </xf>
    <xf numFmtId="0" fontId="72" fillId="0" borderId="11" xfId="1" applyFont="1" applyBorder="1" applyAlignment="1">
      <alignment horizontal="center" vertical="center" wrapText="1"/>
    </xf>
    <xf numFmtId="0" fontId="72" fillId="0" borderId="8" xfId="1" applyFont="1" applyBorder="1" applyAlignment="1">
      <alignment horizontal="center" vertical="center" wrapText="1"/>
    </xf>
    <xf numFmtId="0" fontId="72" fillId="0" borderId="3" xfId="1" applyFont="1" applyBorder="1" applyAlignment="1">
      <alignment vertical="center" wrapText="1"/>
    </xf>
    <xf numFmtId="1" fontId="74" fillId="16" borderId="1" xfId="1" applyNumberFormat="1" applyFont="1" applyFill="1" applyBorder="1" applyAlignment="1">
      <alignment horizontal="center" vertical="center" textRotation="90" wrapText="1"/>
    </xf>
    <xf numFmtId="0" fontId="71" fillId="0" borderId="5" xfId="1" applyFont="1" applyBorder="1" applyAlignment="1">
      <alignment vertical="center"/>
    </xf>
    <xf numFmtId="0" fontId="72" fillId="0" borderId="1" xfId="1" applyFont="1" applyBorder="1" applyAlignment="1">
      <alignment vertical="center" wrapText="1"/>
    </xf>
    <xf numFmtId="0" fontId="71" fillId="15" borderId="1" xfId="1" applyFont="1" applyFill="1" applyBorder="1" applyAlignment="1">
      <alignment horizontal="center" vertical="center" wrapText="1"/>
    </xf>
    <xf numFmtId="0" fontId="71" fillId="0" borderId="9" xfId="1" applyFont="1" applyBorder="1" applyAlignment="1">
      <alignment horizontal="center" vertical="center" wrapText="1"/>
    </xf>
    <xf numFmtId="0" fontId="72" fillId="0" borderId="8" xfId="1" applyFont="1" applyBorder="1" applyAlignment="1">
      <alignment vertical="center" wrapText="1"/>
    </xf>
    <xf numFmtId="0" fontId="71" fillId="0" borderId="0" xfId="1" applyFont="1" applyAlignment="1">
      <alignment horizontal="left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5" fillId="15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NumberFormat="1" applyFont="1" applyFill="1" applyBorder="1" applyAlignment="1">
      <alignment horizontal="left" vertical="center" wrapText="1"/>
    </xf>
    <xf numFmtId="2" fontId="16" fillId="15" borderId="8" xfId="1" applyNumberFormat="1" applyFont="1" applyFill="1" applyBorder="1" applyAlignment="1">
      <alignment horizontal="left" vertical="center"/>
    </xf>
    <xf numFmtId="49" fontId="16" fillId="15" borderId="8" xfId="1" applyNumberFormat="1" applyFont="1" applyFill="1" applyBorder="1" applyAlignment="1">
      <alignment horizontal="left" vertical="center"/>
    </xf>
    <xf numFmtId="0" fontId="16" fillId="15" borderId="14" xfId="1" applyNumberFormat="1" applyFont="1" applyFill="1" applyBorder="1" applyAlignment="1">
      <alignment horizontal="center" vertical="center"/>
    </xf>
    <xf numFmtId="1" fontId="15" fillId="15" borderId="2" xfId="1" applyNumberFormat="1" applyFont="1" applyFill="1" applyBorder="1" applyAlignment="1">
      <alignment horizontal="center" vertical="center"/>
    </xf>
    <xf numFmtId="0" fontId="15" fillId="15" borderId="2" xfId="1" applyFont="1" applyFill="1" applyBorder="1" applyAlignment="1">
      <alignment horizontal="center" vertical="center"/>
    </xf>
    <xf numFmtId="0" fontId="15" fillId="15" borderId="1" xfId="1" applyNumberFormat="1" applyFont="1" applyFill="1" applyBorder="1" applyAlignment="1">
      <alignment horizontal="left" vertical="center" wrapText="1"/>
    </xf>
    <xf numFmtId="1" fontId="15" fillId="15" borderId="1" xfId="1" applyNumberFormat="1" applyFont="1" applyFill="1" applyBorder="1" applyAlignment="1">
      <alignment horizontal="center" vertical="center"/>
    </xf>
    <xf numFmtId="0" fontId="15" fillId="15" borderId="1" xfId="1" applyFont="1" applyFill="1" applyBorder="1" applyAlignment="1">
      <alignment vertical="center"/>
    </xf>
    <xf numFmtId="0" fontId="39" fillId="15" borderId="1" xfId="1" applyNumberFormat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left" vertical="center" wrapText="1"/>
    </xf>
    <xf numFmtId="0" fontId="16" fillId="2" borderId="20" xfId="1" applyNumberFormat="1" applyFont="1" applyFill="1" applyBorder="1" applyAlignment="1">
      <alignment horizontal="left" vertical="center" wrapText="1"/>
    </xf>
    <xf numFmtId="2" fontId="16" fillId="15" borderId="1" xfId="1" applyNumberFormat="1" applyFont="1" applyFill="1" applyBorder="1" applyAlignment="1">
      <alignment horizontal="left" vertical="center"/>
    </xf>
    <xf numFmtId="49" fontId="16" fillId="15" borderId="1" xfId="1" applyNumberFormat="1" applyFont="1" applyFill="1" applyBorder="1" applyAlignment="1">
      <alignment vertical="center"/>
    </xf>
    <xf numFmtId="2" fontId="16" fillId="2" borderId="29" xfId="1" applyNumberFormat="1" applyFont="1" applyFill="1" applyBorder="1" applyAlignment="1">
      <alignment horizontal="center" vertical="center"/>
    </xf>
    <xf numFmtId="2" fontId="16" fillId="2" borderId="30" xfId="1" applyNumberFormat="1" applyFont="1" applyFill="1" applyBorder="1" applyAlignment="1">
      <alignment vertical="center"/>
    </xf>
    <xf numFmtId="0" fontId="16" fillId="15" borderId="14" xfId="1" applyFont="1" applyFill="1" applyBorder="1" applyAlignment="1">
      <alignment vertical="center"/>
    </xf>
    <xf numFmtId="0" fontId="33" fillId="0" borderId="1" xfId="1" applyFont="1" applyFill="1" applyBorder="1" applyAlignment="1">
      <alignment vertical="center"/>
    </xf>
    <xf numFmtId="1" fontId="16" fillId="2" borderId="1" xfId="1" applyNumberFormat="1" applyFont="1" applyFill="1" applyBorder="1" applyAlignment="1">
      <alignment horizontal="center" vertical="center"/>
    </xf>
    <xf numFmtId="0" fontId="16" fillId="2" borderId="7" xfId="1" applyNumberFormat="1" applyFont="1" applyFill="1" applyBorder="1" applyAlignment="1">
      <alignment horizontal="right" vertical="center"/>
    </xf>
    <xf numFmtId="0" fontId="16" fillId="2" borderId="18" xfId="1" applyNumberFormat="1" applyFont="1" applyFill="1" applyBorder="1" applyAlignment="1">
      <alignment horizontal="left" vertical="center"/>
    </xf>
    <xf numFmtId="0" fontId="16" fillId="2" borderId="20" xfId="1" applyNumberFormat="1" applyFont="1" applyFill="1" applyBorder="1" applyAlignment="1">
      <alignment horizontal="left" vertical="center"/>
    </xf>
    <xf numFmtId="2" fontId="16" fillId="0" borderId="1" xfId="1" applyNumberFormat="1" applyFont="1" applyFill="1" applyBorder="1" applyAlignment="1">
      <alignment horizontal="center" vertical="center"/>
    </xf>
    <xf numFmtId="2" fontId="16" fillId="0" borderId="7" xfId="1" applyNumberFormat="1" applyFont="1" applyFill="1" applyBorder="1" applyAlignment="1">
      <alignment horizontal="center" vertical="center"/>
    </xf>
    <xf numFmtId="2" fontId="16" fillId="0" borderId="21" xfId="1" applyNumberFormat="1" applyFont="1" applyFill="1" applyBorder="1" applyAlignment="1">
      <alignment horizontal="center" vertical="center"/>
    </xf>
    <xf numFmtId="2" fontId="16" fillId="0" borderId="18" xfId="1" applyNumberFormat="1" applyFont="1" applyFill="1" applyBorder="1" applyAlignment="1">
      <alignment horizontal="left" vertical="center"/>
    </xf>
    <xf numFmtId="2" fontId="16" fillId="0" borderId="18" xfId="1" applyNumberFormat="1" applyFont="1" applyFill="1" applyBorder="1" applyAlignment="1">
      <alignment horizontal="center" vertical="center"/>
    </xf>
    <xf numFmtId="1" fontId="16" fillId="0" borderId="20" xfId="1" applyNumberFormat="1" applyFont="1" applyFill="1" applyBorder="1" applyAlignment="1">
      <alignment horizontal="left" vertical="center"/>
    </xf>
    <xf numFmtId="0" fontId="8" fillId="7" borderId="14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left" vertical="center"/>
    </xf>
    <xf numFmtId="1" fontId="16" fillId="2" borderId="7" xfId="1" applyNumberFormat="1" applyFont="1" applyFill="1" applyBorder="1" applyAlignment="1">
      <alignment horizontal="right" vertical="center"/>
    </xf>
    <xf numFmtId="2" fontId="16" fillId="2" borderId="18" xfId="1" applyNumberFormat="1" applyFont="1" applyFill="1" applyBorder="1" applyAlignment="1">
      <alignment horizontal="left" vertical="center"/>
    </xf>
    <xf numFmtId="1" fontId="16" fillId="2" borderId="31" xfId="1" applyNumberFormat="1" applyFont="1" applyFill="1" applyBorder="1" applyAlignment="1">
      <alignment horizontal="left" vertical="center"/>
    </xf>
    <xf numFmtId="2" fontId="16" fillId="2" borderId="1" xfId="1" applyNumberFormat="1" applyFont="1" applyFill="1" applyBorder="1" applyAlignment="1">
      <alignment horizontal="left" vertical="center"/>
    </xf>
    <xf numFmtId="2" fontId="16" fillId="2" borderId="7" xfId="1" applyNumberFormat="1" applyFont="1" applyFill="1" applyBorder="1" applyAlignment="1">
      <alignment horizontal="left" vertical="center"/>
    </xf>
    <xf numFmtId="49" fontId="16" fillId="2" borderId="21" xfId="1" applyNumberFormat="1" applyFont="1" applyFill="1" applyBorder="1" applyAlignment="1">
      <alignment horizontal="right" vertical="center"/>
    </xf>
    <xf numFmtId="49" fontId="16" fillId="2" borderId="18" xfId="1" applyNumberFormat="1" applyFont="1" applyFill="1" applyBorder="1" applyAlignment="1">
      <alignment horizontal="left" vertical="center"/>
    </xf>
    <xf numFmtId="49" fontId="16" fillId="2" borderId="18" xfId="1" applyNumberFormat="1" applyFont="1" applyFill="1" applyBorder="1" applyAlignment="1">
      <alignment horizontal="center" vertical="center"/>
    </xf>
    <xf numFmtId="49" fontId="64" fillId="2" borderId="9" xfId="1" applyNumberFormat="1" applyFont="1" applyFill="1" applyBorder="1" applyAlignment="1">
      <alignment vertical="center" wrapText="1"/>
    </xf>
    <xf numFmtId="0" fontId="39" fillId="12" borderId="1" xfId="1" applyNumberFormat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/>
    </xf>
    <xf numFmtId="1" fontId="16" fillId="2" borderId="8" xfId="1" applyNumberFormat="1" applyFont="1" applyFill="1" applyBorder="1" applyAlignment="1">
      <alignment horizontal="right" vertical="center" wrapText="1"/>
    </xf>
    <xf numFmtId="49" fontId="16" fillId="2" borderId="21" xfId="1" applyNumberFormat="1" applyFont="1" applyFill="1" applyBorder="1" applyAlignment="1">
      <alignment horizontal="right" vertical="center" wrapText="1"/>
    </xf>
    <xf numFmtId="49" fontId="16" fillId="0" borderId="18" xfId="1" applyNumberFormat="1" applyFont="1" applyFill="1" applyBorder="1" applyAlignment="1">
      <alignment horizontal="left" vertical="center"/>
    </xf>
    <xf numFmtId="0" fontId="8" fillId="15" borderId="14" xfId="1" applyFont="1" applyFill="1" applyBorder="1" applyAlignment="1">
      <alignment horizontal="center" vertical="center"/>
    </xf>
    <xf numFmtId="0" fontId="22" fillId="2" borderId="13" xfId="1" applyFont="1" applyFill="1" applyBorder="1" applyAlignment="1">
      <alignment horizontal="left" vertical="center"/>
    </xf>
    <xf numFmtId="1" fontId="16" fillId="2" borderId="7" xfId="1" applyNumberFormat="1" applyFont="1" applyFill="1" applyBorder="1" applyAlignment="1">
      <alignment horizontal="right" vertical="center" wrapText="1"/>
    </xf>
    <xf numFmtId="0" fontId="16" fillId="2" borderId="9" xfId="1" applyFont="1" applyFill="1" applyBorder="1" applyAlignment="1">
      <alignment horizontal="left" vertical="center"/>
    </xf>
    <xf numFmtId="49" fontId="16" fillId="2" borderId="8" xfId="1" applyNumberFormat="1" applyFont="1" applyFill="1" applyBorder="1" applyAlignment="1">
      <alignment horizontal="left" vertical="center"/>
    </xf>
    <xf numFmtId="49" fontId="64" fillId="2" borderId="9" xfId="1" applyNumberFormat="1" applyFont="1" applyFill="1" applyBorder="1" applyAlignment="1">
      <alignment vertical="center"/>
    </xf>
    <xf numFmtId="0" fontId="65" fillId="4" borderId="1" xfId="1" applyNumberFormat="1" applyFont="1" applyFill="1" applyBorder="1" applyAlignment="1">
      <alignment horizontal="center" vertical="center"/>
    </xf>
    <xf numFmtId="0" fontId="16" fillId="33" borderId="1" xfId="1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1" fontId="16" fillId="2" borderId="7" xfId="1" applyNumberFormat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vertical="center"/>
    </xf>
    <xf numFmtId="0" fontId="16" fillId="2" borderId="1" xfId="1" applyNumberFormat="1" applyFont="1" applyFill="1" applyBorder="1" applyAlignment="1">
      <alignment horizontal="center" vertical="center"/>
    </xf>
    <xf numFmtId="0" fontId="16" fillId="2" borderId="14" xfId="1" applyNumberFormat="1" applyFont="1" applyFill="1" applyBorder="1" applyAlignment="1">
      <alignment horizontal="center" vertical="center"/>
    </xf>
    <xf numFmtId="0" fontId="16" fillId="2" borderId="15" xfId="1" applyNumberFormat="1" applyFont="1" applyFill="1" applyBorder="1" applyAlignment="1">
      <alignment horizontal="center" vertical="center" wrapText="1"/>
    </xf>
    <xf numFmtId="0" fontId="16" fillId="2" borderId="13" xfId="1" applyNumberFormat="1" applyFont="1" applyFill="1" applyBorder="1" applyAlignment="1">
      <alignment horizontal="center" vertical="center"/>
    </xf>
    <xf numFmtId="1" fontId="8" fillId="2" borderId="7" xfId="1" applyNumberFormat="1" applyFont="1" applyFill="1" applyBorder="1" applyAlignment="1">
      <alignment horizontal="right" vertical="center"/>
    </xf>
    <xf numFmtId="2" fontId="22" fillId="2" borderId="1" xfId="1" applyNumberFormat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vertical="center"/>
    </xf>
    <xf numFmtId="0" fontId="16" fillId="2" borderId="13" xfId="1" applyFont="1" applyFill="1" applyBorder="1" applyAlignment="1">
      <alignment vertical="center"/>
    </xf>
    <xf numFmtId="1" fontId="8" fillId="2" borderId="8" xfId="1" applyNumberFormat="1" applyFont="1" applyFill="1" applyBorder="1" applyAlignment="1">
      <alignment horizontal="center" vertical="center"/>
    </xf>
    <xf numFmtId="1" fontId="8" fillId="2" borderId="24" xfId="1" applyNumberFormat="1" applyFont="1" applyFill="1" applyBorder="1" applyAlignment="1">
      <alignment horizontal="center" vertical="center" wrapText="1"/>
    </xf>
    <xf numFmtId="0" fontId="16" fillId="2" borderId="13" xfId="1" applyNumberFormat="1" applyFont="1" applyFill="1" applyBorder="1" applyAlignment="1">
      <alignment horizontal="center" vertical="center" wrapText="1"/>
    </xf>
    <xf numFmtId="0" fontId="16" fillId="2" borderId="8" xfId="1" applyNumberFormat="1" applyFont="1" applyFill="1" applyBorder="1" applyAlignment="1">
      <alignment horizontal="center" vertical="center" wrapText="1"/>
    </xf>
    <xf numFmtId="0" fontId="16" fillId="2" borderId="9" xfId="1" applyNumberFormat="1" applyFont="1" applyFill="1" applyBorder="1" applyAlignment="1">
      <alignment horizontal="center" vertical="center"/>
    </xf>
    <xf numFmtId="0" fontId="16" fillId="2" borderId="1" xfId="1" applyNumberFormat="1" applyFont="1" applyFill="1" applyBorder="1" applyAlignment="1">
      <alignment horizontal="left" vertical="center"/>
    </xf>
    <xf numFmtId="0" fontId="16" fillId="2" borderId="1" xfId="1" applyNumberFormat="1" applyFont="1" applyFill="1" applyBorder="1" applyAlignment="1">
      <alignment vertical="center"/>
    </xf>
    <xf numFmtId="0" fontId="16" fillId="2" borderId="24" xfId="1" applyNumberFormat="1" applyFont="1" applyFill="1" applyBorder="1" applyAlignment="1">
      <alignment horizontal="left" vertical="center" wrapText="1"/>
    </xf>
    <xf numFmtId="0" fontId="16" fillId="2" borderId="20" xfId="1" applyNumberFormat="1" applyFont="1" applyFill="1" applyBorder="1" applyAlignment="1">
      <alignment horizontal="right" vertical="center" wrapText="1"/>
    </xf>
    <xf numFmtId="0" fontId="16" fillId="2" borderId="31" xfId="1" applyNumberFormat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/>
    </xf>
    <xf numFmtId="0" fontId="16" fillId="2" borderId="8" xfId="1" applyFont="1" applyFill="1" applyBorder="1" applyAlignment="1">
      <alignment vertical="center"/>
    </xf>
    <xf numFmtId="0" fontId="40" fillId="16" borderId="8" xfId="1" applyFont="1" applyFill="1" applyBorder="1" applyAlignment="1">
      <alignment vertical="center"/>
    </xf>
    <xf numFmtId="0" fontId="39" fillId="15" borderId="2" xfId="1" applyFont="1" applyFill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5" fillId="8" borderId="0" xfId="0" applyFont="1" applyFill="1" applyBorder="1" applyAlignment="1">
      <alignment vertical="center"/>
    </xf>
    <xf numFmtId="0" fontId="15" fillId="2" borderId="18" xfId="0" applyNumberFormat="1" applyFont="1" applyFill="1" applyBorder="1" applyAlignment="1">
      <alignment horizontal="left" vertical="center" wrapText="1"/>
    </xf>
    <xf numFmtId="0" fontId="15" fillId="2" borderId="21" xfId="0" applyNumberFormat="1" applyFont="1" applyFill="1" applyBorder="1" applyAlignment="1">
      <alignment horizontal="left" vertical="center" wrapText="1"/>
    </xf>
    <xf numFmtId="49" fontId="75" fillId="15" borderId="1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2" borderId="18" xfId="0" quotePrefix="1" applyNumberFormat="1" applyFont="1" applyFill="1" applyBorder="1" applyAlignment="1">
      <alignment horizontal="left" vertical="center" wrapText="1"/>
    </xf>
    <xf numFmtId="49" fontId="17" fillId="2" borderId="9" xfId="0" applyNumberFormat="1" applyFont="1" applyFill="1" applyBorder="1" applyAlignment="1">
      <alignment vertical="center" wrapText="1"/>
    </xf>
    <xf numFmtId="0" fontId="21" fillId="15" borderId="8" xfId="0" applyFont="1" applyFill="1" applyBorder="1" applyAlignment="1">
      <alignment vertical="center"/>
    </xf>
    <xf numFmtId="0" fontId="41" fillId="2" borderId="0" xfId="1" applyFont="1" applyFill="1" applyBorder="1" applyAlignment="1">
      <alignment horizontal="right" vertical="center"/>
    </xf>
    <xf numFmtId="0" fontId="71" fillId="2" borderId="0" xfId="1" applyFont="1" applyFill="1" applyBorder="1" applyAlignment="1">
      <alignment horizontal="right" vertical="center"/>
    </xf>
    <xf numFmtId="0" fontId="71" fillId="0" borderId="0" xfId="1" applyFont="1" applyAlignment="1">
      <alignment horizontal="right" vertical="center"/>
    </xf>
    <xf numFmtId="0" fontId="41" fillId="0" borderId="0" xfId="1" applyFont="1" applyAlignment="1">
      <alignment horizontal="right" vertical="center"/>
    </xf>
    <xf numFmtId="0" fontId="55" fillId="0" borderId="0" xfId="1" applyFont="1" applyAlignment="1">
      <alignment horizontal="right" vertical="center"/>
    </xf>
    <xf numFmtId="0" fontId="42" fillId="0" borderId="0" xfId="1" applyNumberFormat="1" applyFont="1" applyBorder="1" applyAlignment="1">
      <alignment horizontal="right" vertical="center" wrapText="1"/>
    </xf>
    <xf numFmtId="49" fontId="41" fillId="0" borderId="18" xfId="0" applyNumberFormat="1" applyFont="1" applyFill="1" applyBorder="1" applyAlignment="1">
      <alignment horizontal="right" vertical="center"/>
    </xf>
    <xf numFmtId="49" fontId="16" fillId="0" borderId="18" xfId="0" applyNumberFormat="1" applyFont="1" applyFill="1" applyBorder="1" applyAlignment="1">
      <alignment horizontal="right" vertical="center"/>
    </xf>
    <xf numFmtId="49" fontId="15" fillId="0" borderId="18" xfId="0" applyNumberFormat="1" applyFont="1" applyFill="1" applyBorder="1" applyAlignment="1">
      <alignment horizontal="right" vertical="center"/>
    </xf>
    <xf numFmtId="49" fontId="15" fillId="23" borderId="18" xfId="0" applyNumberFormat="1" applyFont="1" applyFill="1" applyBorder="1" applyAlignment="1">
      <alignment horizontal="right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 applyAlignment="1">
      <alignment horizontal="right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14" fillId="15" borderId="13" xfId="0" applyFont="1" applyFill="1" applyBorder="1" applyAlignment="1">
      <alignment horizontal="left" vertical="center"/>
    </xf>
    <xf numFmtId="0" fontId="42" fillId="2" borderId="0" xfId="1" applyNumberFormat="1" applyFont="1" applyFill="1" applyAlignment="1">
      <alignment horizontal="center" vertical="center" wrapText="1"/>
    </xf>
    <xf numFmtId="49" fontId="42" fillId="2" borderId="0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Border="1" applyAlignment="1">
      <alignment vertical="center" wrapText="1"/>
    </xf>
    <xf numFmtId="2" fontId="42" fillId="2" borderId="0" xfId="1" applyNumberFormat="1" applyFont="1" applyFill="1" applyAlignment="1">
      <alignment horizontal="center" vertical="center" wrapText="1"/>
    </xf>
    <xf numFmtId="2" fontId="42" fillId="2" borderId="0" xfId="1" applyNumberFormat="1" applyFont="1" applyFill="1" applyAlignment="1">
      <alignment horizontal="center" vertical="center"/>
    </xf>
    <xf numFmtId="2" fontId="42" fillId="2" borderId="0" xfId="1" applyNumberFormat="1" applyFont="1" applyFill="1" applyAlignment="1">
      <alignment horizontal="left" vertical="center"/>
    </xf>
    <xf numFmtId="49" fontId="42" fillId="2" borderId="0" xfId="1" applyNumberFormat="1" applyFont="1" applyFill="1" applyBorder="1" applyAlignment="1">
      <alignment horizontal="right" vertical="center" wrapText="1"/>
    </xf>
    <xf numFmtId="49" fontId="42" fillId="2" borderId="0" xfId="1" applyNumberFormat="1" applyFont="1" applyFill="1" applyBorder="1" applyAlignment="1">
      <alignment horizontal="left" vertical="center" wrapText="1"/>
    </xf>
    <xf numFmtId="49" fontId="42" fillId="2" borderId="0" xfId="1" applyNumberFormat="1" applyFont="1" applyFill="1" applyBorder="1" applyAlignment="1">
      <alignment horizontal="center" wrapText="1"/>
    </xf>
    <xf numFmtId="49" fontId="42" fillId="2" borderId="0" xfId="1" applyNumberFormat="1" applyFont="1" applyFill="1" applyBorder="1" applyAlignment="1">
      <alignment wrapText="1"/>
    </xf>
    <xf numFmtId="2" fontId="43" fillId="2" borderId="0" xfId="1" applyNumberFormat="1" applyFont="1" applyFill="1" applyAlignment="1">
      <alignment horizontal="right"/>
    </xf>
    <xf numFmtId="2" fontId="43" fillId="2" borderId="0" xfId="1" applyNumberFormat="1" applyFont="1" applyFill="1" applyAlignment="1"/>
    <xf numFmtId="2" fontId="43" fillId="2" borderId="0" xfId="1" applyNumberFormat="1" applyFont="1" applyFill="1" applyAlignment="1">
      <alignment horizontal="left"/>
    </xf>
    <xf numFmtId="2" fontId="43" fillId="2" borderId="0" xfId="1" applyNumberFormat="1" applyFont="1" applyFill="1" applyAlignment="1">
      <alignment wrapText="1"/>
    </xf>
    <xf numFmtId="2" fontId="41" fillId="2" borderId="0" xfId="1" applyNumberFormat="1" applyFont="1" applyFill="1" applyAlignment="1">
      <alignment horizontal="left"/>
    </xf>
    <xf numFmtId="2" fontId="41" fillId="2" borderId="0" xfId="1" applyNumberFormat="1" applyFont="1" applyFill="1" applyAlignment="1">
      <alignment horizontal="center"/>
    </xf>
    <xf numFmtId="0" fontId="42" fillId="0" borderId="0" xfId="1" applyFont="1" applyAlignment="1">
      <alignment vertical="center" wrapText="1"/>
    </xf>
    <xf numFmtId="2" fontId="41" fillId="2" borderId="0" xfId="1" applyNumberFormat="1" applyFont="1" applyFill="1" applyAlignment="1">
      <alignment horizontal="left" wrapText="1"/>
    </xf>
    <xf numFmtId="0" fontId="41" fillId="2" borderId="0" xfId="1" applyNumberFormat="1" applyFont="1" applyFill="1" applyBorder="1" applyAlignment="1"/>
    <xf numFmtId="0" fontId="52" fillId="0" borderId="0" xfId="1" applyNumberFormat="1" applyFont="1" applyBorder="1" applyAlignment="1">
      <alignment horizontal="center"/>
    </xf>
    <xf numFmtId="0" fontId="58" fillId="0" borderId="0" xfId="1" applyNumberFormat="1" applyFont="1" applyBorder="1" applyAlignment="1">
      <alignment horizontal="center"/>
    </xf>
    <xf numFmtId="0" fontId="58" fillId="0" borderId="0" xfId="1" applyNumberFormat="1" applyFont="1" applyBorder="1" applyAlignment="1"/>
    <xf numFmtId="0" fontId="58" fillId="2" borderId="0" xfId="1" applyNumberFormat="1" applyFont="1" applyFill="1" applyBorder="1" applyAlignment="1"/>
    <xf numFmtId="0" fontId="52" fillId="2" borderId="0" xfId="1" applyNumberFormat="1" applyFont="1" applyFill="1" applyBorder="1" applyAlignment="1"/>
    <xf numFmtId="0" fontId="68" fillId="2" borderId="0" xfId="1" applyNumberFormat="1" applyFont="1" applyFill="1" applyBorder="1" applyAlignment="1"/>
    <xf numFmtId="0" fontId="68" fillId="2" borderId="0" xfId="1" applyNumberFormat="1" applyFont="1" applyFill="1" applyBorder="1" applyAlignment="1">
      <alignment horizontal="right"/>
    </xf>
    <xf numFmtId="0" fontId="68" fillId="0" borderId="0" xfId="1" applyNumberFormat="1" applyFont="1" applyBorder="1" applyAlignment="1"/>
    <xf numFmtId="0" fontId="58" fillId="0" borderId="0" xfId="1" applyNumberFormat="1" applyFont="1" applyBorder="1" applyAlignment="1">
      <alignment horizontal="right"/>
    </xf>
    <xf numFmtId="0" fontId="41" fillId="2" borderId="0" xfId="1" applyNumberFormat="1" applyFont="1" applyFill="1" applyAlignment="1"/>
    <xf numFmtId="0" fontId="41" fillId="0" borderId="0" xfId="1" applyNumberFormat="1" applyFont="1" applyAlignment="1">
      <alignment horizontal="center"/>
    </xf>
    <xf numFmtId="0" fontId="48" fillId="2" borderId="0" xfId="1" applyNumberFormat="1" applyFont="1" applyFill="1" applyAlignment="1">
      <alignment wrapText="1"/>
    </xf>
    <xf numFmtId="0" fontId="41" fillId="0" borderId="0" xfId="1" applyNumberFormat="1" applyFont="1" applyAlignment="1"/>
    <xf numFmtId="0" fontId="41" fillId="0" borderId="0" xfId="1" applyNumberFormat="1" applyFont="1" applyBorder="1" applyAlignment="1"/>
    <xf numFmtId="1" fontId="42" fillId="2" borderId="0" xfId="1" applyNumberFormat="1" applyFont="1" applyFill="1" applyBorder="1" applyAlignment="1">
      <alignment horizontal="right"/>
    </xf>
    <xf numFmtId="0" fontId="42" fillId="2" borderId="0" xfId="1" applyNumberFormat="1" applyFont="1" applyFill="1" applyBorder="1" applyAlignment="1">
      <alignment horizontal="right"/>
    </xf>
    <xf numFmtId="0" fontId="42" fillId="2" borderId="0" xfId="1" applyFont="1" applyFill="1" applyBorder="1" applyAlignment="1">
      <alignment horizontal="right" wrapText="1"/>
    </xf>
    <xf numFmtId="0" fontId="42" fillId="2" borderId="0" xfId="1" quotePrefix="1" applyFont="1" applyFill="1" applyBorder="1" applyAlignment="1">
      <alignment horizontal="left"/>
    </xf>
    <xf numFmtId="0" fontId="42" fillId="2" borderId="0" xfId="1" applyNumberFormat="1" applyFont="1" applyFill="1" applyBorder="1" applyAlignment="1">
      <alignment horizontal="left"/>
    </xf>
    <xf numFmtId="0" fontId="41" fillId="0" borderId="0" xfId="1" applyFont="1" applyFill="1" applyBorder="1" applyAlignment="1">
      <alignment horizontal="center"/>
    </xf>
    <xf numFmtId="0" fontId="41" fillId="0" borderId="0" xfId="1" applyFont="1" applyFill="1" applyBorder="1" applyAlignment="1">
      <alignment horizontal="left"/>
    </xf>
    <xf numFmtId="1" fontId="42" fillId="0" borderId="0" xfId="1" applyNumberFormat="1" applyFont="1" applyFill="1" applyBorder="1" applyAlignment="1">
      <alignment horizontal="center" textRotation="90"/>
    </xf>
    <xf numFmtId="49" fontId="42" fillId="2" borderId="0" xfId="1" applyNumberFormat="1" applyFont="1" applyFill="1" applyBorder="1" applyAlignment="1">
      <alignment horizontal="center"/>
    </xf>
    <xf numFmtId="2" fontId="42" fillId="2" borderId="0" xfId="1" applyNumberFormat="1" applyFont="1" applyFill="1" applyBorder="1" applyAlignment="1">
      <alignment horizontal="left"/>
    </xf>
    <xf numFmtId="0" fontId="42" fillId="0" borderId="0" xfId="1" applyFont="1" applyFill="1" applyBorder="1" applyAlignment="1">
      <alignment horizontal="right"/>
    </xf>
    <xf numFmtId="0" fontId="42" fillId="0" borderId="0" xfId="1" applyFont="1" applyFill="1" applyBorder="1" applyAlignment="1">
      <alignment horizontal="center"/>
    </xf>
    <xf numFmtId="0" fontId="41" fillId="2" borderId="0" xfId="1" applyFont="1" applyFill="1" applyBorder="1" applyAlignment="1">
      <alignment horizontal="right" wrapText="1"/>
    </xf>
    <xf numFmtId="0" fontId="42" fillId="15" borderId="0" xfId="1" applyFont="1" applyFill="1" applyAlignment="1"/>
    <xf numFmtId="0" fontId="42" fillId="4" borderId="0" xfId="1" applyFont="1" applyFill="1" applyAlignment="1">
      <alignment horizontal="left" wrapText="1"/>
    </xf>
    <xf numFmtId="0" fontId="42" fillId="4" borderId="0" xfId="1" applyFont="1" applyFill="1" applyAlignment="1">
      <alignment horizontal="left"/>
    </xf>
    <xf numFmtId="0" fontId="42" fillId="4" borderId="0" xfId="1" applyFont="1" applyFill="1" applyAlignment="1"/>
    <xf numFmtId="0" fontId="42" fillId="4" borderId="0" xfId="1" applyFont="1" applyFill="1" applyAlignment="1">
      <alignment horizontal="center"/>
    </xf>
    <xf numFmtId="0" fontId="42" fillId="2" borderId="0" xfId="1" applyNumberFormat="1" applyFont="1" applyFill="1" applyAlignment="1">
      <alignment horizontal="right"/>
    </xf>
    <xf numFmtId="0" fontId="42" fillId="2" borderId="0" xfId="1" applyFont="1" applyFill="1" applyBorder="1" applyAlignment="1">
      <alignment horizontal="right" textRotation="90"/>
    </xf>
    <xf numFmtId="0" fontId="42" fillId="15" borderId="0" xfId="1" applyFont="1" applyFill="1" applyAlignment="1">
      <alignment vertical="center"/>
    </xf>
    <xf numFmtId="0" fontId="42" fillId="4" borderId="0" xfId="1" applyFont="1" applyFill="1" applyAlignment="1">
      <alignment horizontal="left" vertical="center" wrapText="1"/>
    </xf>
    <xf numFmtId="0" fontId="42" fillId="4" borderId="0" xfId="1" applyFont="1" applyFill="1" applyAlignment="1">
      <alignment horizontal="left" vertical="center"/>
    </xf>
    <xf numFmtId="0" fontId="42" fillId="4" borderId="0" xfId="1" applyFont="1" applyFill="1" applyAlignment="1">
      <alignment vertical="center"/>
    </xf>
    <xf numFmtId="0" fontId="42" fillId="4" borderId="0" xfId="1" applyFont="1" applyFill="1" applyAlignment="1">
      <alignment horizontal="center" vertical="center"/>
    </xf>
    <xf numFmtId="0" fontId="46" fillId="2" borderId="7" xfId="1" applyNumberFormat="1" applyFont="1" applyFill="1" applyBorder="1" applyAlignment="1">
      <alignment horizontal="center" vertical="center" wrapText="1"/>
    </xf>
    <xf numFmtId="49" fontId="47" fillId="2" borderId="1" xfId="1" applyNumberFormat="1" applyFont="1" applyFill="1" applyBorder="1" applyAlignment="1">
      <alignment horizontal="center" vertical="center" wrapText="1"/>
    </xf>
    <xf numFmtId="0" fontId="47" fillId="16" borderId="1" xfId="1" applyNumberFormat="1" applyFont="1" applyFill="1" applyBorder="1" applyAlignment="1">
      <alignment horizontal="center" vertical="center" wrapText="1"/>
    </xf>
    <xf numFmtId="49" fontId="47" fillId="16" borderId="1" xfId="1" applyNumberFormat="1" applyFont="1" applyFill="1" applyBorder="1" applyAlignment="1">
      <alignment horizontal="center" vertical="center" wrapText="1"/>
    </xf>
    <xf numFmtId="0" fontId="46" fillId="16" borderId="1" xfId="1" applyFont="1" applyFill="1" applyBorder="1" applyAlignment="1">
      <alignment vertical="center"/>
    </xf>
    <xf numFmtId="0" fontId="47" fillId="0" borderId="1" xfId="1" applyFont="1" applyBorder="1" applyAlignment="1">
      <alignment horizontal="center" vertical="center" wrapText="1"/>
    </xf>
    <xf numFmtId="0" fontId="47" fillId="0" borderId="1" xfId="1" applyFont="1" applyBorder="1" applyAlignment="1">
      <alignment vertical="center" wrapText="1"/>
    </xf>
    <xf numFmtId="0" fontId="47" fillId="0" borderId="7" xfId="1" applyFont="1" applyBorder="1" applyAlignment="1">
      <alignment vertical="center" wrapText="1"/>
    </xf>
    <xf numFmtId="0" fontId="46" fillId="2" borderId="1" xfId="1" applyFont="1" applyFill="1" applyBorder="1" applyAlignment="1">
      <alignment vertical="center"/>
    </xf>
    <xf numFmtId="0" fontId="46" fillId="2" borderId="1" xfId="1" applyFont="1" applyFill="1" applyBorder="1" applyAlignment="1">
      <alignment horizontal="left" vertical="center"/>
    </xf>
    <xf numFmtId="0" fontId="46" fillId="2" borderId="1" xfId="1" applyNumberFormat="1" applyFont="1" applyFill="1" applyBorder="1" applyAlignment="1">
      <alignment horizontal="left" vertical="center" wrapText="1"/>
    </xf>
    <xf numFmtId="0" fontId="46" fillId="2" borderId="1" xfId="1" applyNumberFormat="1" applyFont="1" applyFill="1" applyBorder="1" applyAlignment="1">
      <alignment horizontal="center" vertical="center" wrapText="1"/>
    </xf>
    <xf numFmtId="49" fontId="46" fillId="2" borderId="1" xfId="1" applyNumberFormat="1" applyFont="1" applyFill="1" applyBorder="1" applyAlignment="1">
      <alignment horizontal="center" vertical="center"/>
    </xf>
    <xf numFmtId="0" fontId="46" fillId="2" borderId="1" xfId="1" applyFont="1" applyFill="1" applyBorder="1" applyAlignment="1">
      <alignment vertical="center" wrapText="1"/>
    </xf>
    <xf numFmtId="0" fontId="46" fillId="2" borderId="1" xfId="1" applyNumberFormat="1" applyFont="1" applyFill="1" applyBorder="1" applyAlignment="1">
      <alignment vertical="center"/>
    </xf>
    <xf numFmtId="0" fontId="46" fillId="2" borderId="1" xfId="1" applyNumberFormat="1" applyFont="1" applyFill="1" applyBorder="1" applyAlignment="1">
      <alignment horizontal="center" vertical="center"/>
    </xf>
    <xf numFmtId="0" fontId="46" fillId="2" borderId="1" xfId="1" applyNumberFormat="1" applyFont="1" applyFill="1" applyBorder="1" applyAlignment="1">
      <alignment horizontal="left" vertical="center"/>
    </xf>
    <xf numFmtId="49" fontId="46" fillId="2" borderId="1" xfId="1" applyNumberFormat="1" applyFont="1" applyFill="1" applyBorder="1" applyAlignment="1">
      <alignment horizontal="left" vertical="center"/>
    </xf>
    <xf numFmtId="2" fontId="46" fillId="2" borderId="1" xfId="1" applyNumberFormat="1" applyFont="1" applyFill="1" applyBorder="1" applyAlignment="1">
      <alignment horizontal="left" vertical="center"/>
    </xf>
    <xf numFmtId="0" fontId="47" fillId="2" borderId="1" xfId="1" applyNumberFormat="1" applyFont="1" applyFill="1" applyBorder="1" applyAlignment="1">
      <alignment horizontal="center" vertical="center" wrapText="1"/>
    </xf>
    <xf numFmtId="1" fontId="47" fillId="2" borderId="1" xfId="1" applyNumberFormat="1" applyFont="1" applyFill="1" applyBorder="1" applyAlignment="1">
      <alignment horizontal="center" vertical="center"/>
    </xf>
    <xf numFmtId="1" fontId="46" fillId="2" borderId="1" xfId="1" applyNumberFormat="1" applyFont="1" applyFill="1" applyBorder="1" applyAlignment="1">
      <alignment horizontal="center" vertical="center" wrapText="1"/>
    </xf>
    <xf numFmtId="1" fontId="46" fillId="2" borderId="1" xfId="1" applyNumberFormat="1" applyFont="1" applyFill="1" applyBorder="1" applyAlignment="1">
      <alignment horizontal="center" vertical="center"/>
    </xf>
    <xf numFmtId="0" fontId="47" fillId="2" borderId="1" xfId="1" applyFont="1" applyFill="1" applyBorder="1" applyAlignment="1">
      <alignment horizontal="center" vertical="center"/>
    </xf>
    <xf numFmtId="2" fontId="46" fillId="2" borderId="1" xfId="1" applyNumberFormat="1" applyFont="1" applyFill="1" applyBorder="1" applyAlignment="1">
      <alignment horizontal="center" vertical="center"/>
    </xf>
    <xf numFmtId="1" fontId="47" fillId="2" borderId="1" xfId="1" applyNumberFormat="1" applyFont="1" applyFill="1" applyBorder="1" applyAlignment="1">
      <alignment horizontal="right" vertical="center"/>
    </xf>
    <xf numFmtId="2" fontId="47" fillId="2" borderId="1" xfId="1" applyNumberFormat="1" applyFont="1" applyFill="1" applyBorder="1" applyAlignment="1">
      <alignment horizontal="center" vertical="center"/>
    </xf>
    <xf numFmtId="0" fontId="46" fillId="16" borderId="3" xfId="1" applyFont="1" applyFill="1" applyBorder="1" applyAlignment="1">
      <alignment vertical="center"/>
    </xf>
    <xf numFmtId="0" fontId="47" fillId="16" borderId="3" xfId="1" applyFont="1" applyFill="1" applyBorder="1" applyAlignment="1">
      <alignment vertical="center" wrapText="1"/>
    </xf>
    <xf numFmtId="0" fontId="46" fillId="0" borderId="1" xfId="1" applyFont="1" applyBorder="1" applyAlignment="1">
      <alignment horizontal="center" vertical="center" wrapText="1"/>
    </xf>
    <xf numFmtId="0" fontId="46" fillId="0" borderId="9" xfId="1" applyFont="1" applyBorder="1" applyAlignment="1">
      <alignment horizontal="center" vertical="center" wrapText="1"/>
    </xf>
    <xf numFmtId="0" fontId="46" fillId="0" borderId="1" xfId="1" applyFont="1" applyBorder="1" applyAlignment="1">
      <alignment vertical="center" wrapText="1"/>
    </xf>
    <xf numFmtId="0" fontId="69" fillId="37" borderId="0" xfId="1" applyFont="1" applyFill="1" applyAlignment="1">
      <alignment horizontal="center" vertical="center"/>
    </xf>
    <xf numFmtId="0" fontId="69" fillId="37" borderId="1" xfId="1" applyFont="1" applyFill="1" applyBorder="1" applyAlignment="1">
      <alignment horizontal="center" vertical="center"/>
    </xf>
    <xf numFmtId="0" fontId="69" fillId="37" borderId="1" xfId="1" applyFont="1" applyFill="1" applyBorder="1" applyAlignment="1">
      <alignment horizontal="center" vertical="center" wrapText="1"/>
    </xf>
    <xf numFmtId="0" fontId="69" fillId="37" borderId="7" xfId="1" applyFont="1" applyFill="1" applyBorder="1" applyAlignment="1">
      <alignment horizontal="center" vertical="center"/>
    </xf>
    <xf numFmtId="0" fontId="69" fillId="37" borderId="9" xfId="1" applyFont="1" applyFill="1" applyBorder="1" applyAlignment="1">
      <alignment horizontal="center" vertical="center"/>
    </xf>
    <xf numFmtId="0" fontId="47" fillId="36" borderId="0" xfId="1" applyFont="1" applyFill="1" applyAlignment="1">
      <alignment horizontal="center" vertical="center"/>
    </xf>
    <xf numFmtId="0" fontId="47" fillId="36" borderId="1" xfId="1" applyFont="1" applyFill="1" applyBorder="1" applyAlignment="1">
      <alignment horizontal="center" vertical="center"/>
    </xf>
    <xf numFmtId="0" fontId="47" fillId="36" borderId="1" xfId="1" applyFont="1" applyFill="1" applyBorder="1" applyAlignment="1">
      <alignment horizontal="center" vertical="center" wrapText="1"/>
    </xf>
    <xf numFmtId="0" fontId="47" fillId="16" borderId="1" xfId="1" applyFont="1" applyFill="1" applyBorder="1" applyAlignment="1">
      <alignment horizontal="center" vertical="center"/>
    </xf>
    <xf numFmtId="0" fontId="47" fillId="36" borderId="7" xfId="1" applyFont="1" applyFill="1" applyBorder="1" applyAlignment="1">
      <alignment vertical="center"/>
    </xf>
    <xf numFmtId="0" fontId="47" fillId="16" borderId="1" xfId="1" applyFont="1" applyFill="1" applyBorder="1" applyAlignment="1">
      <alignment vertical="center"/>
    </xf>
    <xf numFmtId="0" fontId="47" fillId="36" borderId="7" xfId="1" applyFont="1" applyFill="1" applyBorder="1" applyAlignment="1">
      <alignment horizontal="center" vertical="center" wrapText="1"/>
    </xf>
    <xf numFmtId="0" fontId="47" fillId="36" borderId="9" xfId="1" applyFont="1" applyFill="1" applyBorder="1" applyAlignment="1">
      <alignment horizontal="center" vertical="center"/>
    </xf>
    <xf numFmtId="0" fontId="47" fillId="36" borderId="7" xfId="1" applyFont="1" applyFill="1" applyBorder="1" applyAlignment="1">
      <alignment horizontal="center" vertical="center"/>
    </xf>
    <xf numFmtId="0" fontId="47" fillId="36" borderId="8" xfId="1" applyFont="1" applyFill="1" applyBorder="1" applyAlignment="1">
      <alignment horizontal="center" vertical="center"/>
    </xf>
    <xf numFmtId="0" fontId="47" fillId="36" borderId="8" xfId="1" applyFont="1" applyFill="1" applyBorder="1" applyAlignment="1">
      <alignment horizontal="left" vertical="center"/>
    </xf>
    <xf numFmtId="0" fontId="47" fillId="35" borderId="8" xfId="1" applyFont="1" applyFill="1" applyBorder="1" applyAlignment="1">
      <alignment horizontal="center" vertical="center" textRotation="90"/>
    </xf>
    <xf numFmtId="0" fontId="47" fillId="35" borderId="9" xfId="1" applyFont="1" applyFill="1" applyBorder="1" applyAlignment="1">
      <alignment horizontal="center" vertical="center"/>
    </xf>
    <xf numFmtId="0" fontId="47" fillId="36" borderId="9" xfId="1" applyFont="1" applyFill="1" applyBorder="1" applyAlignment="1">
      <alignment horizontal="center" vertical="center" wrapText="1"/>
    </xf>
    <xf numFmtId="0" fontId="47" fillId="36" borderId="9" xfId="1" applyFont="1" applyFill="1" applyBorder="1" applyAlignment="1">
      <alignment horizontal="left" vertical="center"/>
    </xf>
    <xf numFmtId="0" fontId="47" fillId="36" borderId="7" xfId="1" applyFont="1" applyFill="1" applyBorder="1" applyAlignment="1">
      <alignment horizontal="right" vertical="center" wrapText="1"/>
    </xf>
    <xf numFmtId="0" fontId="47" fillId="35" borderId="7" xfId="1" applyFont="1" applyFill="1" applyBorder="1" applyAlignment="1">
      <alignment horizontal="center" vertical="center"/>
    </xf>
    <xf numFmtId="0" fontId="47" fillId="36" borderId="8" xfId="1" applyFont="1" applyFill="1" applyBorder="1" applyAlignment="1">
      <alignment horizontal="center" vertical="center" wrapText="1"/>
    </xf>
    <xf numFmtId="0" fontId="47" fillId="16" borderId="9" xfId="1" applyFont="1" applyFill="1" applyBorder="1" applyAlignment="1">
      <alignment horizontal="center" vertical="center"/>
    </xf>
    <xf numFmtId="0" fontId="47" fillId="16" borderId="0" xfId="1" applyFont="1" applyFill="1" applyAlignment="1">
      <alignment horizontal="left" vertical="center"/>
    </xf>
    <xf numFmtId="0" fontId="42" fillId="15" borderId="1" xfId="1" applyFont="1" applyFill="1" applyBorder="1" applyAlignment="1">
      <alignment horizontal="center" vertical="center"/>
    </xf>
    <xf numFmtId="0" fontId="42" fillId="15" borderId="1" xfId="1" applyFont="1" applyFill="1" applyBorder="1" applyAlignment="1">
      <alignment horizontal="left" vertical="center"/>
    </xf>
    <xf numFmtId="2" fontId="42" fillId="15" borderId="1" xfId="1" applyNumberFormat="1" applyFont="1" applyFill="1" applyBorder="1" applyAlignment="1">
      <alignment horizontal="center" vertical="center"/>
    </xf>
    <xf numFmtId="0" fontId="41" fillId="15" borderId="1" xfId="1" applyNumberFormat="1" applyFont="1" applyFill="1" applyBorder="1" applyAlignment="1">
      <alignment horizontal="center" vertical="center" wrapText="1"/>
    </xf>
    <xf numFmtId="0" fontId="44" fillId="2" borderId="1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left" vertical="center" wrapText="1"/>
    </xf>
    <xf numFmtId="49" fontId="41" fillId="2" borderId="1" xfId="1" applyNumberFormat="1" applyFont="1" applyFill="1" applyBorder="1" applyAlignment="1">
      <alignment horizontal="center" vertical="center" textRotation="90" wrapText="1"/>
    </xf>
    <xf numFmtId="49" fontId="41" fillId="2" borderId="1" xfId="1" applyNumberFormat="1" applyFont="1" applyFill="1" applyBorder="1" applyAlignment="1">
      <alignment horizontal="center" vertical="center" wrapText="1"/>
    </xf>
    <xf numFmtId="0" fontId="41" fillId="15" borderId="1" xfId="1" applyFont="1" applyFill="1" applyBorder="1" applyAlignment="1">
      <alignment horizontal="left" vertical="center" wrapText="1"/>
    </xf>
    <xf numFmtId="2" fontId="41" fillId="2" borderId="1" xfId="1" applyNumberFormat="1" applyFont="1" applyFill="1" applyBorder="1" applyAlignment="1">
      <alignment horizontal="right" vertical="center"/>
    </xf>
    <xf numFmtId="2" fontId="41" fillId="2" borderId="1" xfId="1" applyNumberFormat="1" applyFont="1" applyFill="1" applyBorder="1" applyAlignment="1">
      <alignment horizontal="center" vertical="center" wrapText="1"/>
    </xf>
    <xf numFmtId="0" fontId="41" fillId="2" borderId="7" xfId="1" applyNumberFormat="1" applyFont="1" applyFill="1" applyBorder="1" applyAlignment="1">
      <alignment vertical="center" wrapText="1"/>
    </xf>
    <xf numFmtId="2" fontId="41" fillId="2" borderId="20" xfId="1" applyNumberFormat="1" applyFont="1" applyFill="1" applyBorder="1" applyAlignment="1">
      <alignment horizontal="center" vertical="center" wrapText="1"/>
    </xf>
    <xf numFmtId="0" fontId="41" fillId="2" borderId="1" xfId="1" applyNumberFormat="1" applyFont="1" applyFill="1" applyBorder="1" applyAlignment="1">
      <alignment horizontal="right" vertical="center" wrapText="1"/>
    </xf>
    <xf numFmtId="49" fontId="41" fillId="15" borderId="1" xfId="1" applyNumberFormat="1" applyFont="1" applyFill="1" applyBorder="1" applyAlignment="1">
      <alignment horizontal="right" vertical="center"/>
    </xf>
    <xf numFmtId="49" fontId="41" fillId="2" borderId="7" xfId="1" applyNumberFormat="1" applyFont="1" applyFill="1" applyBorder="1" applyAlignment="1">
      <alignment horizontal="center" vertical="center"/>
    </xf>
    <xf numFmtId="49" fontId="41" fillId="15" borderId="8" xfId="1" applyNumberFormat="1" applyFont="1" applyFill="1" applyBorder="1" applyAlignment="1">
      <alignment horizontal="left" vertical="center"/>
    </xf>
    <xf numFmtId="0" fontId="41" fillId="15" borderId="9" xfId="1" applyNumberFormat="1" applyFont="1" applyFill="1" applyBorder="1" applyAlignment="1">
      <alignment horizontal="left" vertical="center"/>
    </xf>
    <xf numFmtId="0" fontId="41" fillId="15" borderId="1" xfId="1" applyNumberFormat="1" applyFont="1" applyFill="1" applyBorder="1" applyAlignment="1">
      <alignment horizontal="center" vertical="center"/>
    </xf>
    <xf numFmtId="0" fontId="41" fillId="15" borderId="1" xfId="1" applyNumberFormat="1" applyFont="1" applyFill="1" applyBorder="1" applyAlignment="1">
      <alignment horizontal="left" vertical="center" wrapText="1"/>
    </xf>
    <xf numFmtId="0" fontId="41" fillId="2" borderId="7" xfId="1" applyFont="1" applyFill="1" applyBorder="1" applyAlignment="1">
      <alignment vertical="center"/>
    </xf>
    <xf numFmtId="0" fontId="41" fillId="2" borderId="8" xfId="1" applyFont="1" applyFill="1" applyBorder="1" applyAlignment="1">
      <alignment horizontal="left" vertical="center"/>
    </xf>
    <xf numFmtId="49" fontId="41" fillId="0" borderId="8" xfId="1" applyNumberFormat="1" applyFont="1" applyBorder="1" applyAlignment="1">
      <alignment horizontal="left" vertical="center"/>
    </xf>
    <xf numFmtId="2" fontId="41" fillId="15" borderId="20" xfId="1" applyNumberFormat="1" applyFont="1" applyFill="1" applyBorder="1" applyAlignment="1">
      <alignment horizontal="right" vertical="center"/>
    </xf>
    <xf numFmtId="49" fontId="41" fillId="0" borderId="1" xfId="1" applyNumberFormat="1" applyFont="1" applyBorder="1" applyAlignment="1">
      <alignment horizontal="right" vertical="center"/>
    </xf>
    <xf numFmtId="2" fontId="41" fillId="0" borderId="1" xfId="1" applyNumberFormat="1" applyFont="1" applyBorder="1" applyAlignment="1">
      <alignment horizontal="left" vertical="center"/>
    </xf>
    <xf numFmtId="0" fontId="41" fillId="0" borderId="9" xfId="1" applyNumberFormat="1" applyFont="1" applyBorder="1" applyAlignment="1">
      <alignment horizontal="left" vertical="center"/>
    </xf>
    <xf numFmtId="49" fontId="41" fillId="15" borderId="1" xfId="1" applyNumberFormat="1" applyFont="1" applyFill="1" applyBorder="1" applyAlignment="1">
      <alignment vertical="center" wrapText="1"/>
    </xf>
    <xf numFmtId="1" fontId="41" fillId="15" borderId="1" xfId="1" applyNumberFormat="1" applyFont="1" applyFill="1" applyBorder="1" applyAlignment="1">
      <alignment horizontal="center" vertical="center" wrapText="1"/>
    </xf>
    <xf numFmtId="1" fontId="41" fillId="15" borderId="1" xfId="1" applyNumberFormat="1" applyFont="1" applyFill="1" applyBorder="1" applyAlignment="1">
      <alignment horizontal="center" vertical="center"/>
    </xf>
    <xf numFmtId="2" fontId="41" fillId="15" borderId="1" xfId="1" applyNumberFormat="1" applyFont="1" applyFill="1" applyBorder="1" applyAlignment="1">
      <alignment horizontal="center" vertical="center"/>
    </xf>
    <xf numFmtId="0" fontId="41" fillId="15" borderId="1" xfId="1" applyFont="1" applyFill="1" applyBorder="1" applyAlignment="1">
      <alignment horizontal="center" vertical="center"/>
    </xf>
    <xf numFmtId="1" fontId="41" fillId="15" borderId="1" xfId="1" applyNumberFormat="1" applyFont="1" applyFill="1" applyBorder="1" applyAlignment="1">
      <alignment horizontal="right" vertical="center" wrapText="1"/>
    </xf>
    <xf numFmtId="1" fontId="41" fillId="15" borderId="1" xfId="1" applyNumberFormat="1" applyFont="1" applyFill="1" applyBorder="1" applyAlignment="1">
      <alignment horizontal="left" vertical="center" wrapText="1"/>
    </xf>
    <xf numFmtId="49" fontId="41" fillId="15" borderId="1" xfId="1" applyNumberFormat="1" applyFont="1" applyFill="1" applyBorder="1" applyAlignment="1">
      <alignment horizontal="right" vertical="center" wrapText="1"/>
    </xf>
    <xf numFmtId="49" fontId="41" fillId="15" borderId="1" xfId="1" applyNumberFormat="1" applyFont="1" applyFill="1" applyBorder="1" applyAlignment="1">
      <alignment horizontal="left" vertical="center"/>
    </xf>
    <xf numFmtId="49" fontId="41" fillId="15" borderId="1" xfId="1" applyNumberFormat="1" applyFont="1" applyFill="1" applyBorder="1" applyAlignment="1">
      <alignment horizontal="center" vertical="center" wrapText="1"/>
    </xf>
    <xf numFmtId="0" fontId="42" fillId="15" borderId="1" xfId="1" applyNumberFormat="1" applyFont="1" applyFill="1" applyBorder="1" applyAlignment="1">
      <alignment horizontal="center" vertical="center" wrapText="1"/>
    </xf>
    <xf numFmtId="0" fontId="41" fillId="15" borderId="1" xfId="1" applyFont="1" applyFill="1" applyBorder="1" applyAlignment="1">
      <alignment vertical="center"/>
    </xf>
    <xf numFmtId="1" fontId="42" fillId="15" borderId="1" xfId="1" applyNumberFormat="1" applyFont="1" applyFill="1" applyBorder="1" applyAlignment="1">
      <alignment horizontal="right" vertical="center"/>
    </xf>
    <xf numFmtId="1" fontId="42" fillId="15" borderId="1" xfId="1" applyNumberFormat="1" applyFont="1" applyFill="1" applyBorder="1" applyAlignment="1">
      <alignment horizontal="center" vertical="center"/>
    </xf>
    <xf numFmtId="1" fontId="42" fillId="15" borderId="1" xfId="1" applyNumberFormat="1" applyFont="1" applyFill="1" applyBorder="1" applyAlignment="1">
      <alignment horizontal="center" vertical="center" wrapText="1"/>
    </xf>
    <xf numFmtId="0" fontId="41" fillId="15" borderId="1" xfId="1" applyNumberFormat="1" applyFont="1" applyFill="1" applyBorder="1" applyAlignment="1">
      <alignment horizontal="left" vertical="center"/>
    </xf>
    <xf numFmtId="0" fontId="41" fillId="15" borderId="1" xfId="1" applyNumberFormat="1" applyFont="1" applyFill="1" applyBorder="1" applyAlignment="1">
      <alignment vertical="center"/>
    </xf>
    <xf numFmtId="49" fontId="41" fillId="15" borderId="1" xfId="1" applyNumberFormat="1" applyFont="1" applyFill="1" applyBorder="1" applyAlignment="1">
      <alignment horizontal="center" vertical="center"/>
    </xf>
    <xf numFmtId="0" fontId="41" fillId="15" borderId="1" xfId="1" applyNumberFormat="1" applyFont="1" applyFill="1" applyBorder="1" applyAlignment="1">
      <alignment horizontal="right" vertical="center" wrapText="1"/>
    </xf>
    <xf numFmtId="49" fontId="41" fillId="15" borderId="7" xfId="1" applyNumberFormat="1" applyFont="1" applyFill="1" applyBorder="1" applyAlignment="1">
      <alignment horizontal="center" vertical="center"/>
    </xf>
    <xf numFmtId="0" fontId="41" fillId="0" borderId="0" xfId="1" applyFont="1" applyBorder="1" applyAlignment="1">
      <alignment horizontal="left" vertical="center"/>
    </xf>
    <xf numFmtId="0" fontId="41" fillId="2" borderId="0" xfId="1" applyFont="1" applyFill="1" applyBorder="1" applyAlignment="1">
      <alignment horizontal="center" vertical="center" wrapText="1"/>
    </xf>
    <xf numFmtId="0" fontId="41" fillId="0" borderId="0" xfId="1" applyFont="1" applyBorder="1" applyAlignment="1">
      <alignment horizontal="right" vertical="center" textRotation="90"/>
    </xf>
    <xf numFmtId="2" fontId="41" fillId="2" borderId="0" xfId="1" applyNumberFormat="1" applyFont="1" applyFill="1" applyBorder="1" applyAlignment="1">
      <alignment horizontal="right" vertical="center"/>
    </xf>
    <xf numFmtId="2" fontId="41" fillId="2" borderId="0" xfId="1" applyNumberFormat="1" applyFont="1" applyFill="1" applyBorder="1" applyAlignment="1">
      <alignment horizontal="left" vertical="center" wrapText="1"/>
    </xf>
    <xf numFmtId="0" fontId="41" fillId="0" borderId="0" xfId="1" applyNumberFormat="1" applyFont="1" applyBorder="1" applyAlignment="1">
      <alignment vertical="center"/>
    </xf>
    <xf numFmtId="0" fontId="41" fillId="0" borderId="0" xfId="1" applyFont="1" applyBorder="1" applyAlignment="1">
      <alignment vertical="center" wrapText="1"/>
    </xf>
    <xf numFmtId="49" fontId="41" fillId="0" borderId="0" xfId="1" applyNumberFormat="1" applyFont="1" applyBorder="1" applyAlignment="1">
      <alignment vertical="center"/>
    </xf>
    <xf numFmtId="0" fontId="41" fillId="6" borderId="0" xfId="1" applyFont="1" applyFill="1" applyBorder="1" applyAlignment="1">
      <alignment vertical="center"/>
    </xf>
    <xf numFmtId="0" fontId="41" fillId="0" borderId="0" xfId="1" applyNumberFormat="1" applyFont="1" applyBorder="1" applyAlignment="1">
      <alignment horizontal="left" vertical="center"/>
    </xf>
    <xf numFmtId="2" fontId="41" fillId="0" borderId="0" xfId="1" applyNumberFormat="1" applyFont="1" applyBorder="1" applyAlignment="1">
      <alignment horizontal="center" vertical="center"/>
    </xf>
    <xf numFmtId="1" fontId="41" fillId="0" borderId="0" xfId="1" applyNumberFormat="1" applyFont="1" applyBorder="1" applyAlignment="1">
      <alignment horizontal="right" vertical="center"/>
    </xf>
    <xf numFmtId="1" fontId="41" fillId="0" borderId="0" xfId="1" applyNumberFormat="1" applyFont="1" applyBorder="1" applyAlignment="1">
      <alignment horizontal="center" vertical="center" wrapText="1"/>
    </xf>
    <xf numFmtId="2" fontId="41" fillId="0" borderId="0" xfId="1" applyNumberFormat="1" applyFont="1" applyBorder="1" applyAlignment="1">
      <alignment vertical="center"/>
    </xf>
    <xf numFmtId="2" fontId="41" fillId="0" borderId="0" xfId="1" applyNumberFormat="1" applyFont="1" applyBorder="1" applyAlignment="1">
      <alignment horizontal="left" vertical="center"/>
    </xf>
    <xf numFmtId="49" fontId="41" fillId="0" borderId="0" xfId="1" applyNumberFormat="1" applyFont="1" applyBorder="1" applyAlignment="1">
      <alignment horizontal="right" vertical="center"/>
    </xf>
    <xf numFmtId="1" fontId="41" fillId="2" borderId="0" xfId="1" applyNumberFormat="1" applyFont="1" applyFill="1" applyBorder="1" applyAlignment="1">
      <alignment vertical="center"/>
    </xf>
    <xf numFmtId="1" fontId="42" fillId="2" borderId="0" xfId="1" applyNumberFormat="1" applyFont="1" applyFill="1" applyBorder="1" applyAlignment="1">
      <alignment vertical="center"/>
    </xf>
    <xf numFmtId="2" fontId="42" fillId="0" borderId="0" xfId="1" applyNumberFormat="1" applyFont="1" applyBorder="1" applyAlignment="1">
      <alignment horizontal="center" vertical="center"/>
    </xf>
    <xf numFmtId="2" fontId="41" fillId="0" borderId="0" xfId="1" applyNumberFormat="1" applyFont="1" applyBorder="1" applyAlignment="1">
      <alignment horizontal="right" vertical="center"/>
    </xf>
    <xf numFmtId="0" fontId="41" fillId="16" borderId="0" xfId="1" applyNumberFormat="1" applyFont="1" applyFill="1" applyBorder="1" applyAlignment="1">
      <alignment horizontal="center" vertical="center" wrapText="1"/>
    </xf>
    <xf numFmtId="0" fontId="41" fillId="16" borderId="0" xfId="1" applyNumberFormat="1" applyFont="1" applyFill="1" applyBorder="1" applyAlignment="1">
      <alignment horizontal="center" wrapText="1"/>
    </xf>
    <xf numFmtId="0" fontId="41" fillId="16" borderId="0" xfId="1" applyNumberFormat="1" applyFont="1" applyFill="1" applyBorder="1" applyAlignment="1">
      <alignment wrapText="1"/>
    </xf>
    <xf numFmtId="0" fontId="42" fillId="16" borderId="0" xfId="1" applyFont="1" applyFill="1" applyBorder="1" applyAlignment="1">
      <alignment horizontal="center" vertical="center"/>
    </xf>
    <xf numFmtId="0" fontId="43" fillId="16" borderId="0" xfId="1" applyNumberFormat="1" applyFont="1" applyFill="1" applyBorder="1" applyAlignment="1">
      <alignment wrapText="1"/>
    </xf>
    <xf numFmtId="0" fontId="43" fillId="16" borderId="0" xfId="1" applyNumberFormat="1" applyFont="1" applyFill="1" applyBorder="1" applyAlignment="1">
      <alignment horizontal="left" wrapText="1"/>
    </xf>
    <xf numFmtId="0" fontId="43" fillId="16" borderId="0" xfId="1" applyNumberFormat="1" applyFont="1" applyFill="1" applyBorder="1" applyAlignment="1">
      <alignment horizontal="center" wrapText="1"/>
    </xf>
    <xf numFmtId="2" fontId="41" fillId="16" borderId="0" xfId="1" applyNumberFormat="1" applyFont="1" applyFill="1" applyBorder="1" applyAlignment="1">
      <alignment horizontal="center" vertical="center"/>
    </xf>
    <xf numFmtId="0" fontId="42" fillId="16" borderId="0" xfId="1" applyFont="1" applyFill="1" applyBorder="1" applyAlignment="1">
      <alignment horizontal="center" wrapText="1"/>
    </xf>
    <xf numFmtId="0" fontId="42" fillId="16" borderId="0" xfId="1" applyFont="1" applyFill="1" applyBorder="1" applyAlignment="1">
      <alignment horizontal="left" wrapText="1"/>
    </xf>
    <xf numFmtId="0" fontId="42" fillId="16" borderId="0" xfId="1" applyFont="1" applyFill="1" applyBorder="1" applyAlignment="1">
      <alignment horizontal="right" wrapText="1"/>
    </xf>
    <xf numFmtId="0" fontId="42" fillId="16" borderId="0" xfId="1" applyNumberFormat="1" applyFont="1" applyFill="1" applyBorder="1" applyAlignment="1"/>
    <xf numFmtId="0" fontId="41" fillId="16" borderId="0" xfId="1" applyFont="1" applyFill="1" applyBorder="1" applyAlignment="1">
      <alignment horizontal="left" vertical="center"/>
    </xf>
    <xf numFmtId="0" fontId="41" fillId="16" borderId="0" xfId="1" applyNumberFormat="1" applyFont="1" applyFill="1" applyBorder="1" applyAlignment="1">
      <alignment horizontal="left" vertical="center" wrapText="1"/>
    </xf>
    <xf numFmtId="49" fontId="41" fillId="16" borderId="0" xfId="1" applyNumberFormat="1" applyFont="1" applyFill="1" applyBorder="1" applyAlignment="1">
      <alignment horizontal="center" vertical="center"/>
    </xf>
    <xf numFmtId="0" fontId="41" fillId="16" borderId="0" xfId="1" applyFont="1" applyFill="1" applyBorder="1" applyAlignment="1">
      <alignment vertical="center" wrapText="1"/>
    </xf>
    <xf numFmtId="0" fontId="41" fillId="16" borderId="0" xfId="1" applyNumberFormat="1" applyFont="1" applyFill="1" applyBorder="1" applyAlignment="1">
      <alignment vertical="center"/>
    </xf>
    <xf numFmtId="0" fontId="41" fillId="16" borderId="0" xfId="1" applyNumberFormat="1" applyFont="1" applyFill="1" applyBorder="1" applyAlignment="1">
      <alignment horizontal="center" vertical="center"/>
    </xf>
    <xf numFmtId="0" fontId="41" fillId="16" borderId="0" xfId="1" applyNumberFormat="1" applyFont="1" applyFill="1" applyBorder="1" applyAlignment="1">
      <alignment horizontal="left" vertical="center"/>
    </xf>
    <xf numFmtId="0" fontId="41" fillId="16" borderId="0" xfId="1" applyFont="1" applyFill="1" applyBorder="1" applyAlignment="1">
      <alignment vertical="center"/>
    </xf>
    <xf numFmtId="49" fontId="41" fillId="16" borderId="0" xfId="1" applyNumberFormat="1" applyFont="1" applyFill="1" applyBorder="1" applyAlignment="1">
      <alignment horizontal="left" vertical="center"/>
    </xf>
    <xf numFmtId="2" fontId="41" fillId="16" borderId="0" xfId="1" applyNumberFormat="1" applyFont="1" applyFill="1" applyBorder="1" applyAlignment="1">
      <alignment horizontal="left" vertical="center"/>
    </xf>
    <xf numFmtId="0" fontId="42" fillId="16" borderId="0" xfId="1" applyNumberFormat="1" applyFont="1" applyFill="1" applyBorder="1" applyAlignment="1">
      <alignment horizontal="center" vertical="center" wrapText="1"/>
    </xf>
    <xf numFmtId="1" fontId="42" fillId="16" borderId="0" xfId="1" applyNumberFormat="1" applyFont="1" applyFill="1" applyBorder="1" applyAlignment="1">
      <alignment horizontal="center" vertical="center"/>
    </xf>
    <xf numFmtId="1" fontId="41" fillId="16" borderId="0" xfId="1" applyNumberFormat="1" applyFont="1" applyFill="1" applyBorder="1" applyAlignment="1">
      <alignment horizontal="center" vertical="center" wrapText="1"/>
    </xf>
    <xf numFmtId="1" fontId="41" fillId="16" borderId="0" xfId="1" applyNumberFormat="1" applyFont="1" applyFill="1" applyBorder="1" applyAlignment="1">
      <alignment horizontal="center" vertical="center"/>
    </xf>
    <xf numFmtId="1" fontId="42" fillId="16" borderId="0" xfId="1" applyNumberFormat="1" applyFont="1" applyFill="1" applyBorder="1" applyAlignment="1">
      <alignment horizontal="right" vertical="center"/>
    </xf>
    <xf numFmtId="2" fontId="42" fillId="16" borderId="0" xfId="1" applyNumberFormat="1" applyFont="1" applyFill="1" applyBorder="1" applyAlignment="1">
      <alignment horizontal="center" vertical="center"/>
    </xf>
    <xf numFmtId="0" fontId="44" fillId="2" borderId="0" xfId="1" applyNumberFormat="1" applyFont="1" applyFill="1" applyBorder="1" applyAlignment="1">
      <alignment horizontal="center" vertical="center" wrapText="1"/>
    </xf>
    <xf numFmtId="0" fontId="44" fillId="2" borderId="0" xfId="1" applyFont="1" applyFill="1" applyBorder="1" applyAlignment="1">
      <alignment horizontal="center" vertical="center"/>
    </xf>
    <xf numFmtId="0" fontId="44" fillId="2" borderId="0" xfId="1" applyFont="1" applyFill="1" applyBorder="1" applyAlignment="1">
      <alignment horizontal="left" vertical="center" wrapText="1"/>
    </xf>
    <xf numFmtId="0" fontId="45" fillId="2" borderId="0" xfId="1" applyFont="1" applyFill="1" applyBorder="1" applyAlignment="1">
      <alignment horizontal="left" vertical="center"/>
    </xf>
    <xf numFmtId="49" fontId="44" fillId="2" borderId="0" xfId="1" applyNumberFormat="1" applyFont="1" applyFill="1" applyBorder="1" applyAlignment="1">
      <alignment horizontal="center" vertical="center" textRotation="90" wrapText="1"/>
    </xf>
    <xf numFmtId="49" fontId="44" fillId="2" borderId="0" xfId="1" applyNumberFormat="1" applyFont="1" applyFill="1" applyBorder="1" applyAlignment="1">
      <alignment horizontal="center" vertical="center" wrapText="1"/>
    </xf>
    <xf numFmtId="0" fontId="44" fillId="15" borderId="0" xfId="1" applyFont="1" applyFill="1" applyBorder="1" applyAlignment="1">
      <alignment horizontal="left" vertical="center" wrapText="1"/>
    </xf>
    <xf numFmtId="0" fontId="44" fillId="2" borderId="0" xfId="1" applyNumberFormat="1" applyFont="1" applyFill="1" applyBorder="1" applyAlignment="1">
      <alignment horizontal="left" vertical="center" wrapText="1"/>
    </xf>
    <xf numFmtId="2" fontId="44" fillId="2" borderId="0" xfId="1" applyNumberFormat="1" applyFont="1" applyFill="1" applyBorder="1" applyAlignment="1">
      <alignment horizontal="right" vertical="center"/>
    </xf>
    <xf numFmtId="2" fontId="44" fillId="2" borderId="0" xfId="1" applyNumberFormat="1" applyFont="1" applyFill="1" applyBorder="1" applyAlignment="1">
      <alignment horizontal="center" vertical="center" wrapText="1"/>
    </xf>
    <xf numFmtId="2" fontId="44" fillId="2" borderId="0" xfId="1" applyNumberFormat="1" applyFont="1" applyFill="1" applyBorder="1" applyAlignment="1">
      <alignment horizontal="center" vertical="center"/>
    </xf>
    <xf numFmtId="0" fontId="44" fillId="2" borderId="0" xfId="1" applyNumberFormat="1" applyFont="1" applyFill="1" applyBorder="1" applyAlignment="1">
      <alignment vertical="center" wrapText="1"/>
    </xf>
    <xf numFmtId="0" fontId="44" fillId="2" borderId="0" xfId="1" applyNumberFormat="1" applyFont="1" applyFill="1" applyBorder="1" applyAlignment="1">
      <alignment horizontal="right" vertical="center" wrapText="1"/>
    </xf>
    <xf numFmtId="49" fontId="44" fillId="15" borderId="0" xfId="1" applyNumberFormat="1" applyFont="1" applyFill="1" applyBorder="1" applyAlignment="1">
      <alignment horizontal="right" vertical="center"/>
    </xf>
    <xf numFmtId="2" fontId="44" fillId="15" borderId="0" xfId="1" applyNumberFormat="1" applyFont="1" applyFill="1" applyBorder="1" applyAlignment="1">
      <alignment horizontal="left" vertical="center"/>
    </xf>
    <xf numFmtId="49" fontId="44" fillId="15" borderId="0" xfId="1" applyNumberFormat="1" applyFont="1" applyFill="1" applyBorder="1" applyAlignment="1">
      <alignment horizontal="center" vertical="center"/>
    </xf>
    <xf numFmtId="49" fontId="44" fillId="15" borderId="0" xfId="1" applyNumberFormat="1" applyFont="1" applyFill="1" applyBorder="1" applyAlignment="1">
      <alignment horizontal="left" vertical="center"/>
    </xf>
    <xf numFmtId="0" fontId="44" fillId="15" borderId="0" xfId="1" applyNumberFormat="1" applyFont="1" applyFill="1" applyBorder="1" applyAlignment="1">
      <alignment horizontal="left" vertical="center"/>
    </xf>
    <xf numFmtId="0" fontId="44" fillId="15" borderId="0" xfId="1" applyNumberFormat="1" applyFont="1" applyFill="1" applyBorder="1" applyAlignment="1">
      <alignment horizontal="center" vertical="center"/>
    </xf>
    <xf numFmtId="0" fontId="44" fillId="15" borderId="0" xfId="1" applyNumberFormat="1" applyFont="1" applyFill="1" applyBorder="1" applyAlignment="1">
      <alignment horizontal="left" vertical="center" wrapText="1"/>
    </xf>
    <xf numFmtId="0" fontId="44" fillId="2" borderId="0" xfId="1" applyFont="1" applyFill="1" applyBorder="1" applyAlignment="1">
      <alignment vertical="center"/>
    </xf>
    <xf numFmtId="0" fontId="44" fillId="2" borderId="0" xfId="1" applyFont="1" applyFill="1" applyBorder="1" applyAlignment="1">
      <alignment horizontal="left" vertical="center"/>
    </xf>
    <xf numFmtId="49" fontId="44" fillId="0" borderId="0" xfId="1" applyNumberFormat="1" applyFont="1" applyBorder="1" applyAlignment="1">
      <alignment horizontal="left" vertical="center"/>
    </xf>
    <xf numFmtId="49" fontId="44" fillId="0" borderId="0" xfId="1" applyNumberFormat="1" applyFont="1" applyBorder="1" applyAlignment="1">
      <alignment horizontal="right" vertical="center"/>
    </xf>
    <xf numFmtId="2" fontId="44" fillId="0" borderId="0" xfId="1" applyNumberFormat="1" applyFont="1" applyBorder="1" applyAlignment="1">
      <alignment horizontal="left" vertical="center"/>
    </xf>
    <xf numFmtId="49" fontId="44" fillId="2" borderId="0" xfId="1" applyNumberFormat="1" applyFont="1" applyFill="1" applyBorder="1" applyAlignment="1">
      <alignment horizontal="center" vertical="center"/>
    </xf>
    <xf numFmtId="0" fontId="44" fillId="0" borderId="0" xfId="1" applyNumberFormat="1" applyFont="1" applyBorder="1" applyAlignment="1">
      <alignment horizontal="left" vertical="center"/>
    </xf>
    <xf numFmtId="2" fontId="44" fillId="2" borderId="0" xfId="1" applyNumberFormat="1" applyFont="1" applyFill="1" applyBorder="1" applyAlignment="1">
      <alignment horizontal="left" vertical="center" wrapText="1"/>
    </xf>
    <xf numFmtId="2" fontId="44" fillId="2" borderId="0" xfId="1" applyNumberFormat="1" applyFont="1" applyFill="1" applyBorder="1" applyAlignment="1">
      <alignment horizontal="left" vertical="center"/>
    </xf>
    <xf numFmtId="1" fontId="45" fillId="2" borderId="0" xfId="1" applyNumberFormat="1" applyFont="1" applyFill="1" applyBorder="1" applyAlignment="1">
      <alignment horizontal="center" vertical="center"/>
    </xf>
    <xf numFmtId="1" fontId="44" fillId="2" borderId="0" xfId="1" applyNumberFormat="1" applyFont="1" applyFill="1" applyBorder="1" applyAlignment="1">
      <alignment horizontal="center" vertical="center" wrapText="1"/>
    </xf>
    <xf numFmtId="1" fontId="44" fillId="2" borderId="0" xfId="1" applyNumberFormat="1" applyFont="1" applyFill="1" applyBorder="1" applyAlignment="1">
      <alignment horizontal="center" vertical="center"/>
    </xf>
    <xf numFmtId="0" fontId="45" fillId="2" borderId="0" xfId="1" applyFont="1" applyFill="1" applyBorder="1" applyAlignment="1">
      <alignment horizontal="center" vertical="center"/>
    </xf>
    <xf numFmtId="2" fontId="44" fillId="6" borderId="0" xfId="1" applyNumberFormat="1" applyFont="1" applyFill="1" applyBorder="1" applyAlignment="1">
      <alignment horizontal="center" vertical="center"/>
    </xf>
    <xf numFmtId="2" fontId="45" fillId="2" borderId="0" xfId="1" applyNumberFormat="1" applyFont="1" applyFill="1" applyBorder="1" applyAlignment="1">
      <alignment horizontal="center" vertical="center"/>
    </xf>
    <xf numFmtId="1" fontId="45" fillId="2" borderId="0" xfId="1" applyNumberFormat="1" applyFont="1" applyFill="1" applyBorder="1" applyAlignment="1">
      <alignment horizontal="center" vertical="center" wrapText="1"/>
    </xf>
    <xf numFmtId="49" fontId="44" fillId="2" borderId="0" xfId="1" applyNumberFormat="1" applyFont="1" applyFill="1" applyBorder="1" applyAlignment="1">
      <alignment vertical="center"/>
    </xf>
    <xf numFmtId="0" fontId="44" fillId="2" borderId="0" xfId="1" applyNumberFormat="1" applyFont="1" applyFill="1" applyBorder="1" applyAlignment="1">
      <alignment vertical="center"/>
    </xf>
    <xf numFmtId="0" fontId="44" fillId="2" borderId="0" xfId="1" applyNumberFormat="1" applyFont="1" applyFill="1" applyBorder="1" applyAlignment="1">
      <alignment horizontal="center" vertical="center"/>
    </xf>
    <xf numFmtId="0" fontId="44" fillId="2" borderId="0" xfId="1" applyNumberFormat="1" applyFont="1" applyFill="1" applyBorder="1" applyAlignment="1">
      <alignment horizontal="left" vertical="center"/>
    </xf>
    <xf numFmtId="49" fontId="44" fillId="2" borderId="0" xfId="1" applyNumberFormat="1" applyFont="1" applyFill="1" applyBorder="1" applyAlignment="1">
      <alignment horizontal="left" vertical="center"/>
    </xf>
    <xf numFmtId="0" fontId="45" fillId="2" borderId="0" xfId="1" applyNumberFormat="1" applyFont="1" applyFill="1" applyBorder="1" applyAlignment="1">
      <alignment horizontal="center" vertical="center" wrapText="1"/>
    </xf>
    <xf numFmtId="1" fontId="45" fillId="2" borderId="0" xfId="1" applyNumberFormat="1" applyFont="1" applyFill="1" applyBorder="1" applyAlignment="1">
      <alignment horizontal="right" vertical="center"/>
    </xf>
    <xf numFmtId="0" fontId="15" fillId="0" borderId="1" xfId="1" applyNumberFormat="1" applyFont="1" applyFill="1" applyBorder="1" applyAlignment="1">
      <alignment horizontal="center" vertical="center" wrapText="1"/>
    </xf>
    <xf numFmtId="0" fontId="29" fillId="15" borderId="1" xfId="1" applyNumberFormat="1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center" vertical="center" wrapText="1"/>
    </xf>
    <xf numFmtId="0" fontId="15" fillId="2" borderId="1" xfId="1" applyNumberFormat="1" applyFont="1" applyFill="1" applyBorder="1" applyAlignment="1">
      <alignment horizontal="left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left" vertical="center" wrapText="1"/>
    </xf>
    <xf numFmtId="2" fontId="15" fillId="2" borderId="29" xfId="1" applyNumberFormat="1" applyFont="1" applyFill="1" applyBorder="1" applyAlignment="1">
      <alignment horizontal="center" vertical="center"/>
    </xf>
    <xf numFmtId="2" fontId="15" fillId="2" borderId="30" xfId="1" applyNumberFormat="1" applyFont="1" applyFill="1" applyBorder="1" applyAlignment="1">
      <alignment vertical="center"/>
    </xf>
    <xf numFmtId="0" fontId="29" fillId="15" borderId="2" xfId="1" applyFont="1" applyFill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0" fontId="34" fillId="0" borderId="1" xfId="1" applyFont="1" applyFill="1" applyBorder="1" applyAlignment="1">
      <alignment vertical="center"/>
    </xf>
    <xf numFmtId="1" fontId="15" fillId="2" borderId="1" xfId="1" applyNumberFormat="1" applyFont="1" applyFill="1" applyBorder="1" applyAlignment="1">
      <alignment horizontal="center" vertical="center"/>
    </xf>
    <xf numFmtId="0" fontId="15" fillId="2" borderId="32" xfId="1" applyNumberFormat="1" applyFont="1" applyFill="1" applyBorder="1" applyAlignment="1">
      <alignment horizontal="right" vertical="center"/>
    </xf>
    <xf numFmtId="0" fontId="15" fillId="2" borderId="18" xfId="1" applyNumberFormat="1" applyFont="1" applyFill="1" applyBorder="1" applyAlignment="1">
      <alignment horizontal="left" vertical="center"/>
    </xf>
    <xf numFmtId="0" fontId="15" fillId="2" borderId="20" xfId="1" applyNumberFormat="1" applyFont="1" applyFill="1" applyBorder="1" applyAlignment="1">
      <alignment horizontal="left" vertical="center"/>
    </xf>
    <xf numFmtId="2" fontId="15" fillId="0" borderId="1" xfId="1" applyNumberFormat="1" applyFont="1" applyFill="1" applyBorder="1" applyAlignment="1">
      <alignment horizontal="center" vertical="center"/>
    </xf>
    <xf numFmtId="2" fontId="15" fillId="0" borderId="7" xfId="1" applyNumberFormat="1" applyFont="1" applyFill="1" applyBorder="1" applyAlignment="1">
      <alignment horizontal="center" vertical="center"/>
    </xf>
    <xf numFmtId="2" fontId="15" fillId="0" borderId="18" xfId="1" applyNumberFormat="1" applyFont="1" applyFill="1" applyBorder="1" applyAlignment="1">
      <alignment horizontal="center" vertical="center"/>
    </xf>
    <xf numFmtId="2" fontId="15" fillId="0" borderId="21" xfId="1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>
      <alignment horizontal="left" vertical="center"/>
    </xf>
    <xf numFmtId="2" fontId="15" fillId="0" borderId="18" xfId="1" applyNumberFormat="1" applyFont="1" applyFill="1" applyBorder="1" applyAlignment="1">
      <alignment horizontal="left" vertical="center"/>
    </xf>
    <xf numFmtId="1" fontId="15" fillId="0" borderId="20" xfId="1" applyNumberFormat="1" applyFont="1" applyFill="1" applyBorder="1" applyAlignment="1">
      <alignment horizontal="left" vertical="center"/>
    </xf>
    <xf numFmtId="0" fontId="14" fillId="7" borderId="14" xfId="1" applyFont="1" applyFill="1" applyBorder="1" applyAlignment="1">
      <alignment horizontal="center" vertical="center"/>
    </xf>
    <xf numFmtId="0" fontId="15" fillId="2" borderId="13" xfId="1" applyFont="1" applyFill="1" applyBorder="1" applyAlignment="1">
      <alignment horizontal="left" vertical="center"/>
    </xf>
    <xf numFmtId="1" fontId="15" fillId="2" borderId="8" xfId="1" applyNumberFormat="1" applyFont="1" applyFill="1" applyBorder="1" applyAlignment="1">
      <alignment horizontal="right" vertical="center"/>
    </xf>
    <xf numFmtId="2" fontId="15" fillId="2" borderId="8" xfId="1" applyNumberFormat="1" applyFont="1" applyFill="1" applyBorder="1" applyAlignment="1">
      <alignment horizontal="left" vertical="center"/>
    </xf>
    <xf numFmtId="1" fontId="15" fillId="2" borderId="31" xfId="1" applyNumberFormat="1" applyFont="1" applyFill="1" applyBorder="1" applyAlignment="1">
      <alignment horizontal="left" vertical="center"/>
    </xf>
    <xf numFmtId="2" fontId="15" fillId="2" borderId="1" xfId="1" applyNumberFormat="1" applyFont="1" applyFill="1" applyBorder="1" applyAlignment="1">
      <alignment horizontal="left" vertical="center"/>
    </xf>
    <xf numFmtId="2" fontId="15" fillId="2" borderId="7" xfId="1" applyNumberFormat="1" applyFont="1" applyFill="1" applyBorder="1" applyAlignment="1">
      <alignment horizontal="left" vertical="center"/>
    </xf>
    <xf numFmtId="49" fontId="15" fillId="2" borderId="21" xfId="1" applyNumberFormat="1" applyFont="1" applyFill="1" applyBorder="1" applyAlignment="1">
      <alignment horizontal="right" vertical="center"/>
    </xf>
    <xf numFmtId="49" fontId="15" fillId="2" borderId="0" xfId="1" applyNumberFormat="1" applyFont="1" applyFill="1" applyBorder="1" applyAlignment="1">
      <alignment horizontal="left" vertical="center"/>
    </xf>
    <xf numFmtId="49" fontId="15" fillId="2" borderId="18" xfId="1" applyNumberFormat="1" applyFont="1" applyFill="1" applyBorder="1" applyAlignment="1">
      <alignment horizontal="center" vertical="center"/>
    </xf>
    <xf numFmtId="49" fontId="15" fillId="2" borderId="18" xfId="1" applyNumberFormat="1" applyFont="1" applyFill="1" applyBorder="1" applyAlignment="1">
      <alignment horizontal="left" vertical="center"/>
    </xf>
    <xf numFmtId="0" fontId="15" fillId="2" borderId="0" xfId="1" applyNumberFormat="1" applyFont="1" applyFill="1" applyBorder="1" applyAlignment="1">
      <alignment horizontal="left" vertical="center" wrapText="1"/>
    </xf>
    <xf numFmtId="0" fontId="15" fillId="2" borderId="9" xfId="1" applyNumberFormat="1" applyFont="1" applyFill="1" applyBorder="1" applyAlignment="1">
      <alignment horizontal="left" vertical="center" wrapText="1"/>
    </xf>
    <xf numFmtId="49" fontId="19" fillId="2" borderId="9" xfId="1" applyNumberFormat="1" applyFont="1" applyFill="1" applyBorder="1" applyAlignment="1">
      <alignment vertical="center" wrapText="1"/>
    </xf>
    <xf numFmtId="0" fontId="29" fillId="12" borderId="1" xfId="1" applyNumberFormat="1" applyFont="1" applyFill="1" applyBorder="1" applyAlignment="1">
      <alignment horizontal="center" vertical="center"/>
    </xf>
    <xf numFmtId="1" fontId="15" fillId="2" borderId="1" xfId="1" applyNumberFormat="1" applyFont="1" applyFill="1" applyBorder="1" applyAlignment="1">
      <alignment horizontal="center" vertical="center" wrapText="1"/>
    </xf>
    <xf numFmtId="1" fontId="29" fillId="15" borderId="2" xfId="1" applyNumberFormat="1" applyFont="1" applyFill="1" applyBorder="1" applyAlignment="1">
      <alignment horizontal="center" vertical="center"/>
    </xf>
    <xf numFmtId="2" fontId="15" fillId="23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1" fontId="15" fillId="2" borderId="8" xfId="1" applyNumberFormat="1" applyFont="1" applyFill="1" applyBorder="1" applyAlignment="1">
      <alignment horizontal="right" vertical="center" wrapText="1"/>
    </xf>
    <xf numFmtId="1" fontId="15" fillId="2" borderId="8" xfId="1" applyNumberFormat="1" applyFont="1" applyFill="1" applyBorder="1" applyAlignment="1">
      <alignment horizontal="left" vertical="center" wrapText="1"/>
    </xf>
    <xf numFmtId="0" fontId="15" fillId="0" borderId="21" xfId="1" applyFont="1" applyFill="1" applyBorder="1" applyAlignment="1">
      <alignment vertical="center"/>
    </xf>
    <xf numFmtId="49" fontId="15" fillId="0" borderId="18" xfId="1" applyNumberFormat="1" applyFont="1" applyFill="1" applyBorder="1" applyAlignment="1">
      <alignment horizontal="left" vertical="center"/>
    </xf>
    <xf numFmtId="49" fontId="15" fillId="0" borderId="32" xfId="1" applyNumberFormat="1" applyFont="1" applyFill="1" applyBorder="1" applyAlignment="1">
      <alignment horizontal="right" vertical="center" wrapText="1"/>
    </xf>
    <xf numFmtId="0" fontId="15" fillId="0" borderId="20" xfId="1" applyNumberFormat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left" vertical="center"/>
    </xf>
    <xf numFmtId="1" fontId="15" fillId="2" borderId="7" xfId="1" applyNumberFormat="1" applyFont="1" applyFill="1" applyBorder="1" applyAlignment="1">
      <alignment horizontal="right" vertical="center" wrapText="1"/>
    </xf>
    <xf numFmtId="0" fontId="15" fillId="2" borderId="9" xfId="1" applyFont="1" applyFill="1" applyBorder="1" applyAlignment="1">
      <alignment horizontal="left" vertical="center"/>
    </xf>
    <xf numFmtId="49" fontId="15" fillId="2" borderId="21" xfId="1" applyNumberFormat="1" applyFont="1" applyFill="1" applyBorder="1" applyAlignment="1">
      <alignment horizontal="right" vertical="center" wrapText="1"/>
    </xf>
    <xf numFmtId="49" fontId="15" fillId="2" borderId="32" xfId="1" applyNumberFormat="1" applyFont="1" applyFill="1" applyBorder="1" applyAlignment="1">
      <alignment horizontal="right" vertical="center" wrapText="1"/>
    </xf>
    <xf numFmtId="0" fontId="15" fillId="2" borderId="20" xfId="1" applyNumberFormat="1" applyFont="1" applyFill="1" applyBorder="1" applyAlignment="1">
      <alignment horizontal="left" vertical="center" wrapText="1"/>
    </xf>
    <xf numFmtId="49" fontId="19" fillId="2" borderId="9" xfId="1" applyNumberFormat="1" applyFont="1" applyFill="1" applyBorder="1" applyAlignment="1">
      <alignment vertical="center"/>
    </xf>
    <xf numFmtId="0" fontId="24" fillId="4" borderId="1" xfId="1" applyNumberFormat="1" applyFont="1" applyFill="1" applyBorder="1" applyAlignment="1">
      <alignment horizontal="center" vertical="center"/>
    </xf>
    <xf numFmtId="0" fontId="29" fillId="15" borderId="2" xfId="1" applyFont="1" applyFill="1" applyBorder="1" applyAlignment="1">
      <alignment horizontal="center" vertical="center"/>
    </xf>
    <xf numFmtId="0" fontId="15" fillId="33" borderId="1" xfId="1" applyNumberFormat="1" applyFont="1" applyFill="1" applyBorder="1" applyAlignment="1">
      <alignment horizontal="left" vertical="center" wrapText="1"/>
    </xf>
    <xf numFmtId="0" fontId="14" fillId="2" borderId="1" xfId="1" applyNumberFormat="1" applyFont="1" applyFill="1" applyBorder="1" applyAlignment="1">
      <alignment horizontal="center" vertical="center" wrapText="1"/>
    </xf>
    <xf numFmtId="1" fontId="15" fillId="2" borderId="7" xfId="1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2" borderId="1" xfId="1" applyFont="1" applyFill="1" applyBorder="1" applyAlignment="1">
      <alignment vertical="center"/>
    </xf>
    <xf numFmtId="0" fontId="15" fillId="2" borderId="1" xfId="1" applyNumberFormat="1" applyFont="1" applyFill="1" applyBorder="1" applyAlignment="1">
      <alignment horizontal="center" vertical="center"/>
    </xf>
    <xf numFmtId="0" fontId="15" fillId="2" borderId="14" xfId="1" applyNumberFormat="1" applyFont="1" applyFill="1" applyBorder="1" applyAlignment="1">
      <alignment horizontal="center" vertical="center"/>
    </xf>
    <xf numFmtId="0" fontId="15" fillId="2" borderId="15" xfId="1" applyNumberFormat="1" applyFont="1" applyFill="1" applyBorder="1" applyAlignment="1">
      <alignment horizontal="center" vertical="center" wrapText="1"/>
    </xf>
    <xf numFmtId="0" fontId="15" fillId="2" borderId="13" xfId="1" applyNumberFormat="1" applyFont="1" applyFill="1" applyBorder="1" applyAlignment="1">
      <alignment horizontal="center" vertical="center"/>
    </xf>
    <xf numFmtId="1" fontId="14" fillId="2" borderId="7" xfId="1" applyNumberFormat="1" applyFont="1" applyFill="1" applyBorder="1" applyAlignment="1">
      <alignment horizontal="right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5" fillId="2" borderId="14" xfId="1" applyFont="1" applyFill="1" applyBorder="1" applyAlignment="1">
      <alignment vertical="center"/>
    </xf>
    <xf numFmtId="0" fontId="15" fillId="2" borderId="13" xfId="1" applyFont="1" applyFill="1" applyBorder="1" applyAlignment="1">
      <alignment vertical="center"/>
    </xf>
    <xf numFmtId="1" fontId="14" fillId="2" borderId="8" xfId="1" applyNumberFormat="1" applyFont="1" applyFill="1" applyBorder="1" applyAlignment="1">
      <alignment horizontal="center" vertical="center"/>
    </xf>
    <xf numFmtId="1" fontId="14" fillId="2" borderId="24" xfId="1" applyNumberFormat="1" applyFont="1" applyFill="1" applyBorder="1" applyAlignment="1">
      <alignment horizontal="center" vertical="center" wrapText="1"/>
    </xf>
    <xf numFmtId="0" fontId="15" fillId="2" borderId="13" xfId="1" applyNumberFormat="1" applyFont="1" applyFill="1" applyBorder="1" applyAlignment="1">
      <alignment horizontal="center" vertical="center" wrapText="1"/>
    </xf>
    <xf numFmtId="0" fontId="15" fillId="2" borderId="8" xfId="1" applyNumberFormat="1" applyFont="1" applyFill="1" applyBorder="1" applyAlignment="1">
      <alignment horizontal="center" vertical="center" wrapText="1"/>
    </xf>
    <xf numFmtId="0" fontId="15" fillId="2" borderId="9" xfId="1" applyNumberFormat="1" applyFont="1" applyFill="1" applyBorder="1" applyAlignment="1">
      <alignment horizontal="center" vertical="center"/>
    </xf>
    <xf numFmtId="0" fontId="15" fillId="2" borderId="1" xfId="1" applyNumberFormat="1" applyFont="1" applyFill="1" applyBorder="1" applyAlignment="1">
      <alignment horizontal="left" vertical="center"/>
    </xf>
    <xf numFmtId="0" fontId="15" fillId="2" borderId="1" xfId="1" applyNumberFormat="1" applyFont="1" applyFill="1" applyBorder="1" applyAlignment="1">
      <alignment vertical="center"/>
    </xf>
    <xf numFmtId="0" fontId="15" fillId="2" borderId="24" xfId="1" applyNumberFormat="1" applyFont="1" applyFill="1" applyBorder="1" applyAlignment="1">
      <alignment horizontal="left" vertical="center" wrapText="1"/>
    </xf>
    <xf numFmtId="0" fontId="15" fillId="15" borderId="25" xfId="1" applyNumberFormat="1" applyFont="1" applyFill="1" applyBorder="1" applyAlignment="1">
      <alignment vertical="center" wrapText="1"/>
    </xf>
    <xf numFmtId="49" fontId="15" fillId="2" borderId="0" xfId="1" applyNumberFormat="1" applyFont="1" applyFill="1" applyBorder="1" applyAlignment="1">
      <alignment horizontal="center" vertical="center"/>
    </xf>
    <xf numFmtId="0" fontId="15" fillId="2" borderId="20" xfId="1" applyNumberFormat="1" applyFont="1" applyFill="1" applyBorder="1" applyAlignment="1">
      <alignment horizontal="right" vertical="center" wrapText="1"/>
    </xf>
    <xf numFmtId="0" fontId="15" fillId="2" borderId="31" xfId="1" applyNumberFormat="1" applyFont="1" applyFill="1" applyBorder="1" applyAlignment="1">
      <alignment horizontal="center" vertical="center" wrapText="1"/>
    </xf>
    <xf numFmtId="49" fontId="14" fillId="7" borderId="0" xfId="1" applyNumberFormat="1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vertical="center"/>
    </xf>
    <xf numFmtId="0" fontId="15" fillId="23" borderId="8" xfId="1" applyFont="1" applyFill="1" applyBorder="1" applyAlignment="1">
      <alignment vertical="center"/>
    </xf>
    <xf numFmtId="0" fontId="15" fillId="13" borderId="8" xfId="1" applyFont="1" applyFill="1" applyBorder="1" applyAlignment="1">
      <alignment vertical="center"/>
    </xf>
    <xf numFmtId="2" fontId="15" fillId="15" borderId="1" xfId="1" applyNumberFormat="1" applyFont="1" applyFill="1" applyBorder="1" applyAlignment="1">
      <alignment horizontal="left" vertical="center"/>
    </xf>
    <xf numFmtId="49" fontId="15" fillId="15" borderId="1" xfId="1" applyNumberFormat="1" applyFont="1" applyFill="1" applyBorder="1" applyAlignment="1">
      <alignment vertical="center"/>
    </xf>
    <xf numFmtId="0" fontId="25" fillId="15" borderId="1" xfId="1" applyNumberFormat="1" applyFont="1" applyFill="1" applyBorder="1" applyAlignment="1">
      <alignment horizontal="left" vertical="center" wrapText="1"/>
    </xf>
    <xf numFmtId="0" fontId="15" fillId="32" borderId="1" xfId="1" applyNumberFormat="1" applyFont="1" applyFill="1" applyBorder="1" applyAlignment="1">
      <alignment horizontal="left" vertical="center" wrapText="1"/>
    </xf>
    <xf numFmtId="49" fontId="19" fillId="2" borderId="1" xfId="1" applyNumberFormat="1" applyFont="1" applyFill="1" applyBorder="1" applyAlignment="1">
      <alignment vertical="center" wrapText="1"/>
    </xf>
    <xf numFmtId="49" fontId="15" fillId="0" borderId="32" xfId="1" applyNumberFormat="1" applyFont="1" applyFill="1" applyBorder="1" applyAlignment="1">
      <alignment horizontal="center" vertical="center" wrapText="1"/>
    </xf>
    <xf numFmtId="49" fontId="15" fillId="2" borderId="3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15" fillId="4" borderId="1" xfId="1" applyFont="1" applyFill="1" applyBorder="1" applyAlignment="1">
      <alignment vertical="center"/>
    </xf>
    <xf numFmtId="2" fontId="15" fillId="2" borderId="18" xfId="1" applyNumberFormat="1" applyFont="1" applyFill="1" applyBorder="1" applyAlignment="1">
      <alignment horizontal="left" vertical="center"/>
    </xf>
    <xf numFmtId="1" fontId="15" fillId="2" borderId="1" xfId="1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8" xfId="1" applyNumberFormat="1" applyFont="1" applyFill="1" applyBorder="1" applyAlignment="1">
      <alignment horizontal="center" vertical="center"/>
    </xf>
    <xf numFmtId="0" fontId="15" fillId="0" borderId="20" xfId="1" applyNumberFormat="1" applyFont="1" applyFill="1" applyBorder="1" applyAlignment="1">
      <alignment horizontal="left" vertical="center" wrapText="1"/>
    </xf>
    <xf numFmtId="0" fontId="15" fillId="2" borderId="12" xfId="1" applyNumberFormat="1" applyFont="1" applyFill="1" applyBorder="1" applyAlignment="1">
      <alignment horizontal="left" vertical="center" wrapText="1"/>
    </xf>
    <xf numFmtId="0" fontId="15" fillId="0" borderId="1" xfId="1" applyFont="1" applyBorder="1"/>
    <xf numFmtId="0" fontId="15" fillId="2" borderId="0" xfId="1" applyFont="1" applyFill="1" applyBorder="1" applyAlignment="1">
      <alignment vertical="center"/>
    </xf>
    <xf numFmtId="0" fontId="15" fillId="15" borderId="2" xfId="1" applyFont="1" applyFill="1" applyBorder="1" applyAlignment="1">
      <alignment vertical="center" wrapText="1"/>
    </xf>
    <xf numFmtId="0" fontId="16" fillId="0" borderId="0" xfId="1" applyFont="1" applyBorder="1"/>
    <xf numFmtId="2" fontId="15" fillId="2" borderId="1" xfId="1" applyNumberFormat="1" applyFont="1" applyFill="1" applyBorder="1" applyAlignment="1">
      <alignment horizontal="center" vertical="center"/>
    </xf>
    <xf numFmtId="1" fontId="15" fillId="2" borderId="7" xfId="1" applyNumberFormat="1" applyFont="1" applyFill="1" applyBorder="1" applyAlignment="1">
      <alignment horizontal="right" vertical="center"/>
    </xf>
    <xf numFmtId="0" fontId="15" fillId="40" borderId="31" xfId="1" applyFont="1" applyFill="1" applyBorder="1" applyAlignment="1">
      <alignment vertical="center"/>
    </xf>
    <xf numFmtId="0" fontId="15" fillId="15" borderId="24" xfId="1" applyNumberFormat="1" applyFont="1" applyFill="1" applyBorder="1" applyAlignment="1">
      <alignment horizontal="left" vertical="center" wrapText="1"/>
    </xf>
    <xf numFmtId="2" fontId="15" fillId="2" borderId="7" xfId="1" applyNumberFormat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vertical="center"/>
    </xf>
    <xf numFmtId="0" fontId="14" fillId="2" borderId="14" xfId="1" applyFont="1" applyFill="1" applyBorder="1" applyAlignment="1">
      <alignment horizontal="center" vertical="center"/>
    </xf>
    <xf numFmtId="49" fontId="15" fillId="2" borderId="1" xfId="1" applyNumberFormat="1" applyFont="1" applyFill="1" applyBorder="1" applyAlignment="1">
      <alignment vertical="center" wrapText="1"/>
    </xf>
    <xf numFmtId="0" fontId="15" fillId="0" borderId="1" xfId="1" applyNumberFormat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left" vertical="center"/>
    </xf>
    <xf numFmtId="49" fontId="15" fillId="2" borderId="9" xfId="1" applyNumberFormat="1" applyFont="1" applyFill="1" applyBorder="1" applyAlignment="1">
      <alignment vertical="center"/>
    </xf>
    <xf numFmtId="0" fontId="15" fillId="4" borderId="1" xfId="1" applyNumberFormat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0" fontId="15" fillId="0" borderId="9" xfId="1" applyFont="1" applyBorder="1"/>
    <xf numFmtId="0" fontId="15" fillId="40" borderId="7" xfId="1" applyFont="1" applyFill="1" applyBorder="1" applyAlignment="1">
      <alignment vertical="center"/>
    </xf>
    <xf numFmtId="0" fontId="15" fillId="40" borderId="18" xfId="1" applyFont="1" applyFill="1" applyBorder="1" applyAlignment="1">
      <alignment vertical="center"/>
    </xf>
    <xf numFmtId="0" fontId="16" fillId="0" borderId="1" xfId="1" applyNumberFormat="1" applyFont="1" applyFill="1" applyBorder="1" applyAlignment="1">
      <alignment horizontal="center" vertical="center" wrapText="1"/>
    </xf>
    <xf numFmtId="49" fontId="16" fillId="2" borderId="1" xfId="1" applyNumberFormat="1" applyFont="1" applyFill="1" applyBorder="1" applyAlignment="1">
      <alignment horizontal="left" vertical="center" wrapText="1"/>
    </xf>
    <xf numFmtId="1" fontId="16" fillId="15" borderId="1" xfId="1" applyNumberFormat="1" applyFont="1" applyFill="1" applyBorder="1" applyAlignment="1">
      <alignment horizontal="center" vertical="center"/>
    </xf>
    <xf numFmtId="0" fontId="63" fillId="15" borderId="1" xfId="1" applyNumberFormat="1" applyFont="1" applyFill="1" applyBorder="1" applyAlignment="1">
      <alignment horizontal="left" vertical="center" wrapText="1"/>
    </xf>
    <xf numFmtId="0" fontId="16" fillId="2" borderId="12" xfId="1" applyNumberFormat="1" applyFont="1" applyFill="1" applyBorder="1" applyAlignment="1">
      <alignment horizontal="left" vertical="center" wrapText="1"/>
    </xf>
    <xf numFmtId="0" fontId="16" fillId="15" borderId="25" xfId="1" applyNumberFormat="1" applyFont="1" applyFill="1" applyBorder="1" applyAlignment="1">
      <alignment vertical="center" wrapText="1"/>
    </xf>
    <xf numFmtId="0" fontId="16" fillId="15" borderId="1" xfId="1" applyFont="1" applyFill="1" applyBorder="1" applyAlignment="1">
      <alignment vertical="center"/>
    </xf>
    <xf numFmtId="0" fontId="39" fillId="15" borderId="2" xfId="1" applyFont="1" applyFill="1" applyBorder="1" applyAlignment="1">
      <alignment vertical="center" wrapText="1"/>
    </xf>
    <xf numFmtId="0" fontId="16" fillId="0" borderId="1" xfId="1" applyFont="1" applyBorder="1" applyAlignment="1">
      <alignment vertical="center"/>
    </xf>
    <xf numFmtId="0" fontId="16" fillId="2" borderId="32" xfId="1" applyNumberFormat="1" applyFont="1" applyFill="1" applyBorder="1" applyAlignment="1">
      <alignment horizontal="right" vertical="center"/>
    </xf>
    <xf numFmtId="49" fontId="64" fillId="2" borderId="1" xfId="1" applyNumberFormat="1" applyFont="1" applyFill="1" applyBorder="1" applyAlignment="1">
      <alignment vertical="center" wrapText="1"/>
    </xf>
    <xf numFmtId="1" fontId="39" fillId="15" borderId="2" xfId="1" applyNumberFormat="1" applyFont="1" applyFill="1" applyBorder="1" applyAlignment="1">
      <alignment horizontal="center" vertical="center"/>
    </xf>
    <xf numFmtId="2" fontId="16" fillId="23" borderId="1" xfId="1" applyNumberFormat="1" applyFont="1" applyFill="1" applyBorder="1" applyAlignment="1">
      <alignment horizontal="center" vertical="center"/>
    </xf>
    <xf numFmtId="1" fontId="16" fillId="2" borderId="8" xfId="1" applyNumberFormat="1" applyFont="1" applyFill="1" applyBorder="1" applyAlignment="1">
      <alignment horizontal="left" vertical="center" wrapText="1"/>
    </xf>
    <xf numFmtId="0" fontId="16" fillId="0" borderId="21" xfId="1" applyFont="1" applyFill="1" applyBorder="1" applyAlignment="1">
      <alignment vertical="center"/>
    </xf>
    <xf numFmtId="49" fontId="16" fillId="0" borderId="32" xfId="1" applyNumberFormat="1" applyFont="1" applyFill="1" applyBorder="1" applyAlignment="1">
      <alignment horizontal="right" vertical="center" wrapText="1"/>
    </xf>
    <xf numFmtId="0" fontId="16" fillId="0" borderId="20" xfId="1" applyNumberFormat="1" applyFont="1" applyFill="1" applyBorder="1" applyAlignment="1">
      <alignment horizontal="center" vertical="center" wrapText="1"/>
    </xf>
    <xf numFmtId="49" fontId="16" fillId="2" borderId="32" xfId="1" applyNumberFormat="1" applyFont="1" applyFill="1" applyBorder="1" applyAlignment="1">
      <alignment horizontal="right" vertical="center" wrapText="1"/>
    </xf>
    <xf numFmtId="0" fontId="16" fillId="2" borderId="1" xfId="1" applyFont="1" applyFill="1" applyBorder="1" applyAlignment="1">
      <alignment vertical="center"/>
    </xf>
    <xf numFmtId="0" fontId="16" fillId="15" borderId="8" xfId="1" applyFont="1" applyFill="1" applyBorder="1" applyAlignment="1">
      <alignment vertical="center"/>
    </xf>
    <xf numFmtId="0" fontId="16" fillId="15" borderId="1" xfId="1" applyNumberFormat="1" applyFont="1" applyFill="1" applyBorder="1" applyAlignment="1">
      <alignment horizontal="center" vertical="center" wrapText="1"/>
    </xf>
    <xf numFmtId="0" fontId="16" fillId="15" borderId="1" xfId="1" applyNumberFormat="1" applyFont="1" applyFill="1" applyBorder="1" applyAlignment="1">
      <alignment horizontal="left" vertical="center" wrapText="1"/>
    </xf>
    <xf numFmtId="49" fontId="16" fillId="15" borderId="1" xfId="1" applyNumberFormat="1" applyFont="1" applyFill="1" applyBorder="1" applyAlignment="1">
      <alignment horizontal="center" vertical="center" wrapText="1"/>
    </xf>
    <xf numFmtId="49" fontId="16" fillId="15" borderId="1" xfId="1" applyNumberFormat="1" applyFont="1" applyFill="1" applyBorder="1" applyAlignment="1">
      <alignment horizontal="left" vertical="center" wrapText="1"/>
    </xf>
    <xf numFmtId="0" fontId="16" fillId="15" borderId="12" xfId="1" applyNumberFormat="1" applyFont="1" applyFill="1" applyBorder="1" applyAlignment="1">
      <alignment horizontal="left" vertical="center" wrapText="1"/>
    </xf>
    <xf numFmtId="2" fontId="16" fillId="15" borderId="29" xfId="1" applyNumberFormat="1" applyFont="1" applyFill="1" applyBorder="1" applyAlignment="1">
      <alignment horizontal="center" vertical="center"/>
    </xf>
    <xf numFmtId="2" fontId="16" fillId="15" borderId="30" xfId="1" applyNumberFormat="1" applyFont="1" applyFill="1" applyBorder="1" applyAlignment="1">
      <alignment vertical="center"/>
    </xf>
    <xf numFmtId="0" fontId="16" fillId="15" borderId="32" xfId="1" applyNumberFormat="1" applyFont="1" applyFill="1" applyBorder="1" applyAlignment="1">
      <alignment horizontal="right" vertical="center"/>
    </xf>
    <xf numFmtId="0" fontId="16" fillId="15" borderId="18" xfId="1" applyNumberFormat="1" applyFont="1" applyFill="1" applyBorder="1" applyAlignment="1">
      <alignment horizontal="left" vertical="center"/>
    </xf>
    <xf numFmtId="0" fontId="16" fillId="15" borderId="20" xfId="1" applyNumberFormat="1" applyFont="1" applyFill="1" applyBorder="1" applyAlignment="1">
      <alignment horizontal="left" vertical="center"/>
    </xf>
    <xf numFmtId="2" fontId="16" fillId="15" borderId="1" xfId="1" applyNumberFormat="1" applyFont="1" applyFill="1" applyBorder="1" applyAlignment="1">
      <alignment horizontal="center" vertical="center"/>
    </xf>
    <xf numFmtId="2" fontId="16" fillId="15" borderId="7" xfId="1" applyNumberFormat="1" applyFont="1" applyFill="1" applyBorder="1" applyAlignment="1">
      <alignment horizontal="center" vertical="center"/>
    </xf>
    <xf numFmtId="0" fontId="16" fillId="15" borderId="13" xfId="1" applyFont="1" applyFill="1" applyBorder="1" applyAlignment="1">
      <alignment horizontal="left" vertical="center"/>
    </xf>
    <xf numFmtId="1" fontId="16" fillId="15" borderId="7" xfId="1" applyNumberFormat="1" applyFont="1" applyFill="1" applyBorder="1" applyAlignment="1">
      <alignment horizontal="right" vertical="center"/>
    </xf>
    <xf numFmtId="2" fontId="16" fillId="15" borderId="18" xfId="1" applyNumberFormat="1" applyFont="1" applyFill="1" applyBorder="1" applyAlignment="1">
      <alignment horizontal="left" vertical="center"/>
    </xf>
    <xf numFmtId="1" fontId="16" fillId="15" borderId="31" xfId="1" applyNumberFormat="1" applyFont="1" applyFill="1" applyBorder="1" applyAlignment="1">
      <alignment horizontal="left" vertical="center"/>
    </xf>
    <xf numFmtId="2" fontId="16" fillId="15" borderId="7" xfId="1" applyNumberFormat="1" applyFont="1" applyFill="1" applyBorder="1" applyAlignment="1">
      <alignment horizontal="left" vertical="center"/>
    </xf>
    <xf numFmtId="49" fontId="16" fillId="15" borderId="21" xfId="1" applyNumberFormat="1" applyFont="1" applyFill="1" applyBorder="1" applyAlignment="1">
      <alignment horizontal="right" vertical="center"/>
    </xf>
    <xf numFmtId="49" fontId="16" fillId="15" borderId="18" xfId="1" applyNumberFormat="1" applyFont="1" applyFill="1" applyBorder="1" applyAlignment="1">
      <alignment horizontal="left" vertical="center"/>
    </xf>
    <xf numFmtId="49" fontId="16" fillId="15" borderId="18" xfId="1" applyNumberFormat="1" applyFont="1" applyFill="1" applyBorder="1" applyAlignment="1">
      <alignment horizontal="center" vertical="center"/>
    </xf>
    <xf numFmtId="49" fontId="64" fillId="15" borderId="9" xfId="1" applyNumberFormat="1" applyFont="1" applyFill="1" applyBorder="1" applyAlignment="1">
      <alignment vertical="center" wrapText="1"/>
    </xf>
    <xf numFmtId="1" fontId="16" fillId="15" borderId="1" xfId="1" applyNumberFormat="1" applyFont="1" applyFill="1" applyBorder="1" applyAlignment="1">
      <alignment horizontal="center" vertical="center" wrapText="1"/>
    </xf>
    <xf numFmtId="0" fontId="16" fillId="15" borderId="1" xfId="1" applyFont="1" applyFill="1" applyBorder="1" applyAlignment="1">
      <alignment horizontal="center" vertical="center"/>
    </xf>
    <xf numFmtId="1" fontId="16" fillId="15" borderId="8" xfId="1" applyNumberFormat="1" applyFont="1" applyFill="1" applyBorder="1" applyAlignment="1">
      <alignment horizontal="right" vertical="center" wrapText="1"/>
    </xf>
    <xf numFmtId="1" fontId="16" fillId="15" borderId="8" xfId="1" applyNumberFormat="1" applyFont="1" applyFill="1" applyBorder="1" applyAlignment="1">
      <alignment horizontal="left" vertical="center" wrapText="1"/>
    </xf>
    <xf numFmtId="0" fontId="22" fillId="15" borderId="13" xfId="1" applyFont="1" applyFill="1" applyBorder="1" applyAlignment="1">
      <alignment horizontal="left" vertical="center"/>
    </xf>
    <xf numFmtId="1" fontId="16" fillId="15" borderId="7" xfId="1" applyNumberFormat="1" applyFont="1" applyFill="1" applyBorder="1" applyAlignment="1">
      <alignment horizontal="right" vertical="center" wrapText="1"/>
    </xf>
    <xf numFmtId="0" fontId="16" fillId="15" borderId="9" xfId="1" applyFont="1" applyFill="1" applyBorder="1" applyAlignment="1">
      <alignment horizontal="left" vertical="center"/>
    </xf>
    <xf numFmtId="49" fontId="16" fillId="15" borderId="32" xfId="1" applyNumberFormat="1" applyFont="1" applyFill="1" applyBorder="1" applyAlignment="1">
      <alignment horizontal="right" vertical="center" wrapText="1"/>
    </xf>
    <xf numFmtId="0" fontId="16" fillId="15" borderId="20" xfId="1" applyNumberFormat="1" applyFont="1" applyFill="1" applyBorder="1" applyAlignment="1">
      <alignment horizontal="left" vertical="center" wrapText="1"/>
    </xf>
    <xf numFmtId="49" fontId="64" fillId="15" borderId="9" xfId="1" applyNumberFormat="1" applyFont="1" applyFill="1" applyBorder="1" applyAlignment="1">
      <alignment vertical="center"/>
    </xf>
    <xf numFmtId="0" fontId="65" fillId="15" borderId="1" xfId="1" applyNumberFormat="1" applyFont="1" applyFill="1" applyBorder="1" applyAlignment="1">
      <alignment horizontal="center" vertical="center"/>
    </xf>
    <xf numFmtId="0" fontId="8" fillId="15" borderId="1" xfId="1" applyNumberFormat="1" applyFont="1" applyFill="1" applyBorder="1" applyAlignment="1">
      <alignment horizontal="center" vertical="center" wrapText="1"/>
    </xf>
    <xf numFmtId="1" fontId="16" fillId="15" borderId="7" xfId="1" applyNumberFormat="1" applyFont="1" applyFill="1" applyBorder="1" applyAlignment="1">
      <alignment horizontal="center" vertical="center"/>
    </xf>
    <xf numFmtId="0" fontId="16" fillId="15" borderId="0" xfId="1" applyFont="1" applyFill="1" applyBorder="1" applyAlignment="1">
      <alignment vertical="center"/>
    </xf>
    <xf numFmtId="0" fontId="16" fillId="15" borderId="1" xfId="1" applyNumberFormat="1" applyFont="1" applyFill="1" applyBorder="1" applyAlignment="1">
      <alignment horizontal="center" vertical="center"/>
    </xf>
    <xf numFmtId="0" fontId="16" fillId="15" borderId="15" xfId="1" applyNumberFormat="1" applyFont="1" applyFill="1" applyBorder="1" applyAlignment="1">
      <alignment horizontal="center" vertical="center" wrapText="1"/>
    </xf>
    <xf numFmtId="0" fontId="16" fillId="15" borderId="13" xfId="1" applyNumberFormat="1" applyFont="1" applyFill="1" applyBorder="1" applyAlignment="1">
      <alignment horizontal="center" vertical="center"/>
    </xf>
    <xf numFmtId="1" fontId="8" fillId="15" borderId="7" xfId="1" applyNumberFormat="1" applyFont="1" applyFill="1" applyBorder="1" applyAlignment="1">
      <alignment horizontal="right" vertical="center"/>
    </xf>
    <xf numFmtId="2" fontId="22" fillId="15" borderId="1" xfId="1" applyNumberFormat="1" applyFont="1" applyFill="1" applyBorder="1" applyAlignment="1">
      <alignment horizontal="center" vertical="center"/>
    </xf>
    <xf numFmtId="0" fontId="16" fillId="15" borderId="13" xfId="1" applyFont="1" applyFill="1" applyBorder="1" applyAlignment="1">
      <alignment vertical="center"/>
    </xf>
    <xf numFmtId="1" fontId="8" fillId="15" borderId="8" xfId="1" applyNumberFormat="1" applyFont="1" applyFill="1" applyBorder="1" applyAlignment="1">
      <alignment horizontal="center" vertical="center"/>
    </xf>
    <xf numFmtId="1" fontId="8" fillId="15" borderId="24" xfId="1" applyNumberFormat="1" applyFont="1" applyFill="1" applyBorder="1" applyAlignment="1">
      <alignment horizontal="center" vertical="center" wrapText="1"/>
    </xf>
    <xf numFmtId="0" fontId="16" fillId="15" borderId="13" xfId="1" applyNumberFormat="1" applyFont="1" applyFill="1" applyBorder="1" applyAlignment="1">
      <alignment horizontal="center" vertical="center" wrapText="1"/>
    </xf>
    <xf numFmtId="0" fontId="16" fillId="15" borderId="1" xfId="1" applyFont="1" applyFill="1" applyBorder="1" applyAlignment="1">
      <alignment horizontal="center" vertical="center" wrapText="1"/>
    </xf>
    <xf numFmtId="0" fontId="16" fillId="15" borderId="8" xfId="1" applyNumberFormat="1" applyFont="1" applyFill="1" applyBorder="1" applyAlignment="1">
      <alignment horizontal="center" vertical="center" wrapText="1"/>
    </xf>
    <xf numFmtId="0" fontId="16" fillId="15" borderId="9" xfId="1" applyNumberFormat="1" applyFont="1" applyFill="1" applyBorder="1" applyAlignment="1">
      <alignment horizontal="center" vertical="center"/>
    </xf>
    <xf numFmtId="0" fontId="16" fillId="15" borderId="1" xfId="1" applyNumberFormat="1" applyFont="1" applyFill="1" applyBorder="1" applyAlignment="1">
      <alignment horizontal="left" vertical="center"/>
    </xf>
    <xf numFmtId="0" fontId="16" fillId="15" borderId="1" xfId="1" applyNumberFormat="1" applyFont="1" applyFill="1" applyBorder="1" applyAlignment="1">
      <alignment vertical="center"/>
    </xf>
    <xf numFmtId="0" fontId="16" fillId="15" borderId="9" xfId="1" applyNumberFormat="1" applyFont="1" applyFill="1" applyBorder="1" applyAlignment="1">
      <alignment horizontal="left" vertical="center" wrapText="1"/>
    </xf>
    <xf numFmtId="0" fontId="16" fillId="15" borderId="24" xfId="1" applyNumberFormat="1" applyFont="1" applyFill="1" applyBorder="1" applyAlignment="1">
      <alignment horizontal="left" vertical="center" wrapText="1"/>
    </xf>
    <xf numFmtId="0" fontId="16" fillId="15" borderId="20" xfId="1" applyNumberFormat="1" applyFont="1" applyFill="1" applyBorder="1" applyAlignment="1">
      <alignment horizontal="right" vertical="center" wrapText="1"/>
    </xf>
    <xf numFmtId="0" fontId="16" fillId="15" borderId="31" xfId="1" applyNumberFormat="1" applyFont="1" applyFill="1" applyBorder="1" applyAlignment="1">
      <alignment horizontal="center" vertical="center" wrapText="1"/>
    </xf>
    <xf numFmtId="1" fontId="8" fillId="15" borderId="1" xfId="1" applyNumberFormat="1" applyFont="1" applyFill="1" applyBorder="1" applyAlignment="1">
      <alignment horizontal="center" vertical="center"/>
    </xf>
    <xf numFmtId="0" fontId="16" fillId="13" borderId="8" xfId="1" applyFont="1" applyFill="1" applyBorder="1" applyAlignment="1">
      <alignment vertical="center"/>
    </xf>
    <xf numFmtId="0" fontId="16" fillId="23" borderId="8" xfId="1" applyFont="1" applyFill="1" applyBorder="1" applyAlignment="1">
      <alignment vertical="center"/>
    </xf>
    <xf numFmtId="1" fontId="16" fillId="0" borderId="21" xfId="1" applyNumberFormat="1" applyFont="1" applyFill="1" applyBorder="1" applyAlignment="1">
      <alignment horizontal="center" vertical="center"/>
    </xf>
    <xf numFmtId="1" fontId="16" fillId="0" borderId="18" xfId="1" applyNumberFormat="1" applyFont="1" applyFill="1" applyBorder="1" applyAlignment="1">
      <alignment horizontal="left" vertical="center"/>
    </xf>
    <xf numFmtId="1" fontId="16" fillId="0" borderId="18" xfId="1" applyNumberFormat="1" applyFont="1" applyFill="1" applyBorder="1" applyAlignment="1">
      <alignment horizontal="center" vertical="center"/>
    </xf>
    <xf numFmtId="0" fontId="40" fillId="2" borderId="20" xfId="1" applyNumberFormat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3" borderId="1" xfId="1" applyNumberFormat="1" applyFont="1" applyFill="1" applyBorder="1" applyAlignment="1">
      <alignment horizontal="center" vertical="center" wrapText="1"/>
    </xf>
    <xf numFmtId="0" fontId="16" fillId="23" borderId="1" xfId="1" applyFont="1" applyFill="1" applyBorder="1" applyAlignment="1">
      <alignment horizontal="left" vertical="center" wrapText="1"/>
    </xf>
    <xf numFmtId="49" fontId="16" fillId="23" borderId="1" xfId="1" applyNumberFormat="1" applyFont="1" applyFill="1" applyBorder="1" applyAlignment="1">
      <alignment horizontal="center" vertical="center" wrapText="1"/>
    </xf>
    <xf numFmtId="49" fontId="16" fillId="23" borderId="1" xfId="1" applyNumberFormat="1" applyFont="1" applyFill="1" applyBorder="1" applyAlignment="1">
      <alignment horizontal="left" vertical="center" wrapText="1"/>
    </xf>
    <xf numFmtId="0" fontId="16" fillId="23" borderId="1" xfId="1" applyNumberFormat="1" applyFont="1" applyFill="1" applyBorder="1" applyAlignment="1">
      <alignment horizontal="left" vertical="center" wrapText="1"/>
    </xf>
    <xf numFmtId="2" fontId="16" fillId="23" borderId="1" xfId="1" applyNumberFormat="1" applyFont="1" applyFill="1" applyBorder="1" applyAlignment="1">
      <alignment horizontal="left" vertical="center"/>
    </xf>
    <xf numFmtId="1" fontId="16" fillId="23" borderId="1" xfId="1" applyNumberFormat="1" applyFont="1" applyFill="1" applyBorder="1" applyAlignment="1">
      <alignment horizontal="center" vertical="center"/>
    </xf>
    <xf numFmtId="49" fontId="16" fillId="23" borderId="1" xfId="1" applyNumberFormat="1" applyFont="1" applyFill="1" applyBorder="1" applyAlignment="1">
      <alignment vertical="center"/>
    </xf>
    <xf numFmtId="0" fontId="63" fillId="23" borderId="1" xfId="1" applyNumberFormat="1" applyFont="1" applyFill="1" applyBorder="1" applyAlignment="1">
      <alignment horizontal="left" vertical="center" wrapText="1"/>
    </xf>
    <xf numFmtId="0" fontId="39" fillId="23" borderId="1" xfId="1" applyNumberFormat="1" applyFont="1" applyFill="1" applyBorder="1" applyAlignment="1">
      <alignment horizontal="center" vertical="center" wrapText="1"/>
    </xf>
    <xf numFmtId="0" fontId="16" fillId="23" borderId="12" xfId="1" applyNumberFormat="1" applyFont="1" applyFill="1" applyBorder="1" applyAlignment="1">
      <alignment horizontal="left" vertical="center"/>
    </xf>
    <xf numFmtId="0" fontId="16" fillId="23" borderId="25" xfId="1" applyNumberFormat="1" applyFont="1" applyFill="1" applyBorder="1" applyAlignment="1">
      <alignment vertical="center" wrapText="1"/>
    </xf>
    <xf numFmtId="2" fontId="16" fillId="23" borderId="29" xfId="1" applyNumberFormat="1" applyFont="1" applyFill="1" applyBorder="1" applyAlignment="1">
      <alignment horizontal="center" vertical="center"/>
    </xf>
    <xf numFmtId="2" fontId="16" fillId="23" borderId="30" xfId="1" applyNumberFormat="1" applyFont="1" applyFill="1" applyBorder="1" applyAlignment="1">
      <alignment vertical="center"/>
    </xf>
    <xf numFmtId="0" fontId="16" fillId="23" borderId="1" xfId="1" applyFont="1" applyFill="1" applyBorder="1" applyAlignment="1">
      <alignment vertical="center"/>
    </xf>
    <xf numFmtId="0" fontId="39" fillId="23" borderId="2" xfId="1" applyFont="1" applyFill="1" applyBorder="1" applyAlignment="1">
      <alignment vertical="center" wrapText="1"/>
    </xf>
    <xf numFmtId="0" fontId="33" fillId="23" borderId="1" xfId="1" applyNumberFormat="1" applyFont="1" applyFill="1" applyBorder="1" applyAlignment="1">
      <alignment horizontal="left" vertical="center" wrapText="1"/>
    </xf>
    <xf numFmtId="0" fontId="33" fillId="23" borderId="1" xfId="1" applyFont="1" applyFill="1" applyBorder="1" applyAlignment="1">
      <alignment vertical="center"/>
    </xf>
    <xf numFmtId="0" fontId="16" fillId="23" borderId="32" xfId="1" applyNumberFormat="1" applyFont="1" applyFill="1" applyBorder="1" applyAlignment="1">
      <alignment horizontal="right" vertical="center"/>
    </xf>
    <xf numFmtId="0" fontId="16" fillId="23" borderId="18" xfId="1" applyNumberFormat="1" applyFont="1" applyFill="1" applyBorder="1" applyAlignment="1">
      <alignment horizontal="left" vertical="center"/>
    </xf>
    <xf numFmtId="0" fontId="16" fillId="23" borderId="20" xfId="1" applyNumberFormat="1" applyFont="1" applyFill="1" applyBorder="1" applyAlignment="1">
      <alignment horizontal="left" vertical="center"/>
    </xf>
    <xf numFmtId="2" fontId="16" fillId="23" borderId="7" xfId="1" applyNumberFormat="1" applyFont="1" applyFill="1" applyBorder="1" applyAlignment="1">
      <alignment horizontal="center" vertical="center"/>
    </xf>
    <xf numFmtId="2" fontId="16" fillId="23" borderId="21" xfId="1" applyNumberFormat="1" applyFont="1" applyFill="1" applyBorder="1" applyAlignment="1">
      <alignment horizontal="center" vertical="center"/>
    </xf>
    <xf numFmtId="2" fontId="16" fillId="23" borderId="18" xfId="1" applyNumberFormat="1" applyFont="1" applyFill="1" applyBorder="1" applyAlignment="1">
      <alignment horizontal="center" vertical="center"/>
    </xf>
    <xf numFmtId="0" fontId="8" fillId="23" borderId="14" xfId="1" applyFont="1" applyFill="1" applyBorder="1" applyAlignment="1">
      <alignment horizontal="center" vertical="center"/>
    </xf>
    <xf numFmtId="0" fontId="16" fillId="23" borderId="13" xfId="1" applyFont="1" applyFill="1" applyBorder="1" applyAlignment="1">
      <alignment horizontal="left" vertical="center"/>
    </xf>
    <xf numFmtId="1" fontId="16" fillId="23" borderId="7" xfId="1" applyNumberFormat="1" applyFont="1" applyFill="1" applyBorder="1" applyAlignment="1">
      <alignment horizontal="right" vertical="center"/>
    </xf>
    <xf numFmtId="2" fontId="16" fillId="23" borderId="18" xfId="1" applyNumberFormat="1" applyFont="1" applyFill="1" applyBorder="1" applyAlignment="1">
      <alignment horizontal="left" vertical="center"/>
    </xf>
    <xf numFmtId="1" fontId="16" fillId="23" borderId="31" xfId="1" applyNumberFormat="1" applyFont="1" applyFill="1" applyBorder="1" applyAlignment="1">
      <alignment horizontal="left" vertical="center"/>
    </xf>
    <xf numFmtId="2" fontId="16" fillId="23" borderId="7" xfId="1" applyNumberFormat="1" applyFont="1" applyFill="1" applyBorder="1" applyAlignment="1">
      <alignment horizontal="left" vertical="center"/>
    </xf>
    <xf numFmtId="49" fontId="16" fillId="23" borderId="21" xfId="1" applyNumberFormat="1" applyFont="1" applyFill="1" applyBorder="1" applyAlignment="1">
      <alignment horizontal="right" vertical="center"/>
    </xf>
    <xf numFmtId="49" fontId="16" fillId="23" borderId="18" xfId="1" applyNumberFormat="1" applyFont="1" applyFill="1" applyBorder="1" applyAlignment="1">
      <alignment horizontal="left" vertical="center"/>
    </xf>
    <xf numFmtId="49" fontId="16" fillId="23" borderId="18" xfId="1" applyNumberFormat="1" applyFont="1" applyFill="1" applyBorder="1" applyAlignment="1">
      <alignment horizontal="center" vertical="center"/>
    </xf>
    <xf numFmtId="49" fontId="64" fillId="23" borderId="1" xfId="1" applyNumberFormat="1" applyFont="1" applyFill="1" applyBorder="1" applyAlignment="1">
      <alignment vertical="center" wrapText="1"/>
    </xf>
    <xf numFmtId="1" fontId="16" fillId="23" borderId="1" xfId="1" applyNumberFormat="1" applyFont="1" applyFill="1" applyBorder="1" applyAlignment="1">
      <alignment horizontal="center" vertical="center" wrapText="1"/>
    </xf>
    <xf numFmtId="1" fontId="39" fillId="23" borderId="2" xfId="1" applyNumberFormat="1" applyFont="1" applyFill="1" applyBorder="1" applyAlignment="1">
      <alignment horizontal="center" vertical="center"/>
    </xf>
    <xf numFmtId="0" fontId="16" fillId="23" borderId="1" xfId="1" applyFont="1" applyFill="1" applyBorder="1" applyAlignment="1">
      <alignment horizontal="center" vertical="center"/>
    </xf>
    <xf numFmtId="1" fontId="16" fillId="23" borderId="8" xfId="1" applyNumberFormat="1" applyFont="1" applyFill="1" applyBorder="1" applyAlignment="1">
      <alignment horizontal="right" vertical="center" wrapText="1"/>
    </xf>
    <xf numFmtId="1" fontId="16" fillId="23" borderId="8" xfId="1" applyNumberFormat="1" applyFont="1" applyFill="1" applyBorder="1" applyAlignment="1">
      <alignment horizontal="left" vertical="center" wrapText="1"/>
    </xf>
    <xf numFmtId="49" fontId="16" fillId="23" borderId="21" xfId="1" applyNumberFormat="1" applyFont="1" applyFill="1" applyBorder="1" applyAlignment="1">
      <alignment horizontal="right" vertical="center" wrapText="1"/>
    </xf>
    <xf numFmtId="49" fontId="16" fillId="23" borderId="32" xfId="1" applyNumberFormat="1" applyFont="1" applyFill="1" applyBorder="1" applyAlignment="1">
      <alignment horizontal="center" vertical="center" wrapText="1"/>
    </xf>
    <xf numFmtId="0" fontId="16" fillId="23" borderId="20" xfId="1" applyNumberFormat="1" applyFont="1" applyFill="1" applyBorder="1" applyAlignment="1">
      <alignment horizontal="left" vertical="center" wrapText="1"/>
    </xf>
    <xf numFmtId="0" fontId="22" fillId="23" borderId="13" xfId="1" applyFont="1" applyFill="1" applyBorder="1" applyAlignment="1">
      <alignment horizontal="left" vertical="center"/>
    </xf>
    <xf numFmtId="1" fontId="16" fillId="23" borderId="7" xfId="1" applyNumberFormat="1" applyFont="1" applyFill="1" applyBorder="1" applyAlignment="1">
      <alignment horizontal="right" vertical="center" wrapText="1"/>
    </xf>
    <xf numFmtId="1" fontId="16" fillId="23" borderId="9" xfId="1" applyNumberFormat="1" applyFont="1" applyFill="1" applyBorder="1" applyAlignment="1">
      <alignment horizontal="left" vertical="center" wrapText="1"/>
    </xf>
    <xf numFmtId="49" fontId="64" fillId="23" borderId="9" xfId="1" applyNumberFormat="1" applyFont="1" applyFill="1" applyBorder="1" applyAlignment="1">
      <alignment vertical="center"/>
    </xf>
    <xf numFmtId="0" fontId="65" fillId="23" borderId="1" xfId="1" applyNumberFormat="1" applyFont="1" applyFill="1" applyBorder="1" applyAlignment="1">
      <alignment horizontal="center" vertical="center"/>
    </xf>
    <xf numFmtId="0" fontId="39" fillId="23" borderId="2" xfId="1" applyFont="1" applyFill="1" applyBorder="1" applyAlignment="1">
      <alignment horizontal="center" vertical="center"/>
    </xf>
    <xf numFmtId="0" fontId="8" fillId="23" borderId="1" xfId="1" applyNumberFormat="1" applyFont="1" applyFill="1" applyBorder="1" applyAlignment="1">
      <alignment horizontal="center" vertical="center" wrapText="1"/>
    </xf>
    <xf numFmtId="1" fontId="16" fillId="23" borderId="7" xfId="1" applyNumberFormat="1" applyFont="1" applyFill="1" applyBorder="1" applyAlignment="1">
      <alignment horizontal="center" vertical="center"/>
    </xf>
    <xf numFmtId="0" fontId="16" fillId="23" borderId="0" xfId="1" applyFont="1" applyFill="1" applyBorder="1" applyAlignment="1">
      <alignment vertical="center"/>
    </xf>
    <xf numFmtId="0" fontId="67" fillId="23" borderId="1" xfId="1" applyFont="1" applyFill="1" applyBorder="1" applyAlignment="1">
      <alignment vertical="center"/>
    </xf>
    <xf numFmtId="0" fontId="16" fillId="23" borderId="1" xfId="1" applyNumberFormat="1" applyFont="1" applyFill="1" applyBorder="1" applyAlignment="1">
      <alignment horizontal="center" vertical="center"/>
    </xf>
    <xf numFmtId="0" fontId="16" fillId="23" borderId="14" xfId="1" applyNumberFormat="1" applyFont="1" applyFill="1" applyBorder="1" applyAlignment="1">
      <alignment horizontal="center" vertical="center"/>
    </xf>
    <xf numFmtId="0" fontId="16" fillId="23" borderId="15" xfId="1" applyNumberFormat="1" applyFont="1" applyFill="1" applyBorder="1" applyAlignment="1">
      <alignment horizontal="center" vertical="center" wrapText="1"/>
    </xf>
    <xf numFmtId="0" fontId="16" fillId="23" borderId="13" xfId="1" applyNumberFormat="1" applyFont="1" applyFill="1" applyBorder="1" applyAlignment="1">
      <alignment horizontal="center" vertical="center"/>
    </xf>
    <xf numFmtId="0" fontId="16" fillId="23" borderId="13" xfId="1" applyNumberFormat="1" applyFont="1" applyFill="1" applyBorder="1" applyAlignment="1">
      <alignment horizontal="center" vertical="center" wrapText="1"/>
    </xf>
    <xf numFmtId="1" fontId="8" fillId="23" borderId="7" xfId="1" applyNumberFormat="1" applyFont="1" applyFill="1" applyBorder="1" applyAlignment="1">
      <alignment horizontal="right" vertical="center"/>
    </xf>
    <xf numFmtId="2" fontId="22" fillId="23" borderId="1" xfId="1" applyNumberFormat="1" applyFont="1" applyFill="1" applyBorder="1" applyAlignment="1">
      <alignment horizontal="center" vertical="center"/>
    </xf>
    <xf numFmtId="0" fontId="16" fillId="23" borderId="14" xfId="1" applyFont="1" applyFill="1" applyBorder="1" applyAlignment="1">
      <alignment vertical="center"/>
    </xf>
    <xf numFmtId="0" fontId="16" fillId="23" borderId="13" xfId="1" applyFont="1" applyFill="1" applyBorder="1" applyAlignment="1">
      <alignment vertical="center"/>
    </xf>
    <xf numFmtId="1" fontId="8" fillId="23" borderId="8" xfId="1" applyNumberFormat="1" applyFont="1" applyFill="1" applyBorder="1" applyAlignment="1">
      <alignment horizontal="center" vertical="center"/>
    </xf>
    <xf numFmtId="1" fontId="8" fillId="23" borderId="24" xfId="1" applyNumberFormat="1" applyFont="1" applyFill="1" applyBorder="1" applyAlignment="1">
      <alignment horizontal="center" vertical="center" wrapText="1"/>
    </xf>
    <xf numFmtId="0" fontId="16" fillId="23" borderId="8" xfId="1" applyNumberFormat="1" applyFont="1" applyFill="1" applyBorder="1" applyAlignment="1">
      <alignment horizontal="center" vertical="center" wrapText="1"/>
    </xf>
    <xf numFmtId="0" fontId="16" fillId="23" borderId="9" xfId="1" applyNumberFormat="1" applyFont="1" applyFill="1" applyBorder="1" applyAlignment="1">
      <alignment horizontal="center" vertical="center"/>
    </xf>
    <xf numFmtId="0" fontId="16" fillId="23" borderId="1" xfId="1" applyNumberFormat="1" applyFont="1" applyFill="1" applyBorder="1" applyAlignment="1">
      <alignment horizontal="left" vertical="center"/>
    </xf>
    <xf numFmtId="0" fontId="16" fillId="23" borderId="1" xfId="1" applyNumberFormat="1" applyFont="1" applyFill="1" applyBorder="1" applyAlignment="1">
      <alignment vertical="center"/>
    </xf>
    <xf numFmtId="0" fontId="16" fillId="23" borderId="9" xfId="1" applyNumberFormat="1" applyFont="1" applyFill="1" applyBorder="1" applyAlignment="1">
      <alignment horizontal="left" vertical="center" wrapText="1"/>
    </xf>
    <xf numFmtId="0" fontId="16" fillId="23" borderId="24" xfId="1" applyNumberFormat="1" applyFont="1" applyFill="1" applyBorder="1" applyAlignment="1">
      <alignment horizontal="left" vertical="center"/>
    </xf>
    <xf numFmtId="0" fontId="16" fillId="23" borderId="20" xfId="1" applyNumberFormat="1" applyFont="1" applyFill="1" applyBorder="1" applyAlignment="1">
      <alignment horizontal="right" vertical="center" wrapText="1"/>
    </xf>
    <xf numFmtId="0" fontId="16" fillId="23" borderId="31" xfId="1" applyNumberFormat="1" applyFont="1" applyFill="1" applyBorder="1" applyAlignment="1">
      <alignment horizontal="center" vertical="center" wrapText="1"/>
    </xf>
    <xf numFmtId="1" fontId="8" fillId="23" borderId="1" xfId="1" applyNumberFormat="1" applyFont="1" applyFill="1" applyBorder="1" applyAlignment="1">
      <alignment horizontal="center" vertical="center"/>
    </xf>
    <xf numFmtId="2" fontId="15" fillId="0" borderId="7" xfId="1" quotePrefix="1" applyNumberFormat="1" applyFont="1" applyFill="1" applyBorder="1" applyAlignment="1">
      <alignment horizontal="center" vertical="center"/>
    </xf>
    <xf numFmtId="1" fontId="15" fillId="0" borderId="7" xfId="1" applyNumberFormat="1" applyFont="1" applyFill="1" applyBorder="1" applyAlignment="1">
      <alignment horizontal="left" vertical="center"/>
    </xf>
    <xf numFmtId="0" fontId="15" fillId="15" borderId="12" xfId="1" applyNumberFormat="1" applyFont="1" applyFill="1" applyBorder="1" applyAlignment="1">
      <alignment horizontal="left" vertical="center" wrapText="1"/>
    </xf>
    <xf numFmtId="0" fontId="15" fillId="40" borderId="25" xfId="1" applyNumberFormat="1" applyFont="1" applyFill="1" applyBorder="1" applyAlignment="1">
      <alignment vertical="center" wrapText="1"/>
    </xf>
    <xf numFmtId="0" fontId="39" fillId="0" borderId="1" xfId="1" applyNumberFormat="1" applyFont="1" applyFill="1" applyBorder="1" applyAlignment="1">
      <alignment horizontal="center" vertical="center" wrapText="1"/>
    </xf>
    <xf numFmtId="0" fontId="16" fillId="2" borderId="0" xfId="1" applyNumberFormat="1" applyFont="1" applyFill="1" applyBorder="1" applyAlignment="1">
      <alignment horizontal="right" vertical="center"/>
    </xf>
    <xf numFmtId="49" fontId="64" fillId="23" borderId="9" xfId="1" applyNumberFormat="1" applyFont="1" applyFill="1" applyBorder="1" applyAlignment="1">
      <alignment vertical="center" wrapText="1"/>
    </xf>
    <xf numFmtId="0" fontId="16" fillId="2" borderId="8" xfId="1" applyNumberFormat="1" applyFont="1" applyFill="1" applyBorder="1" applyAlignment="1">
      <alignment horizontal="center" vertical="center"/>
    </xf>
    <xf numFmtId="0" fontId="16" fillId="17" borderId="8" xfId="1" applyFont="1" applyFill="1" applyBorder="1" applyAlignment="1">
      <alignment vertical="center"/>
    </xf>
    <xf numFmtId="0" fontId="39" fillId="15" borderId="1" xfId="1" applyNumberFormat="1" applyFont="1" applyFill="1" applyBorder="1" applyAlignment="1">
      <alignment horizontal="center" vertical="center"/>
    </xf>
    <xf numFmtId="0" fontId="16" fillId="15" borderId="24" xfId="1" applyFont="1" applyFill="1" applyBorder="1"/>
    <xf numFmtId="0" fontId="16" fillId="15" borderId="9" xfId="1" applyNumberFormat="1" applyFont="1" applyFill="1" applyBorder="1" applyAlignment="1">
      <alignment horizontal="center" vertical="center" wrapText="1"/>
    </xf>
    <xf numFmtId="0" fontId="16" fillId="15" borderId="7" xfId="1" applyFont="1" applyFill="1" applyBorder="1"/>
    <xf numFmtId="49" fontId="16" fillId="15" borderId="0" xfId="1" applyNumberFormat="1" applyFont="1" applyFill="1" applyBorder="1" applyAlignment="1">
      <alignment horizontal="center" vertical="center"/>
    </xf>
    <xf numFmtId="0" fontId="70" fillId="2" borderId="8" xfId="1" applyFont="1" applyFill="1" applyBorder="1" applyAlignment="1">
      <alignment vertical="center"/>
    </xf>
    <xf numFmtId="0" fontId="16" fillId="0" borderId="24" xfId="1" applyFont="1" applyBorder="1"/>
    <xf numFmtId="0" fontId="16" fillId="2" borderId="9" xfId="1" applyNumberFormat="1" applyFont="1" applyFill="1" applyBorder="1" applyAlignment="1">
      <alignment horizontal="center" vertical="center" wrapText="1"/>
    </xf>
    <xf numFmtId="0" fontId="16" fillId="0" borderId="21" xfId="1" applyFont="1" applyBorder="1"/>
    <xf numFmtId="49" fontId="16" fillId="2" borderId="0" xfId="1" applyNumberFormat="1" applyFont="1" applyFill="1" applyBorder="1" applyAlignment="1">
      <alignment horizontal="center" vertical="center"/>
    </xf>
    <xf numFmtId="49" fontId="16" fillId="2" borderId="7" xfId="1" applyNumberFormat="1" applyFont="1" applyFill="1" applyBorder="1" applyAlignment="1">
      <alignment horizontal="right" vertical="center"/>
    </xf>
    <xf numFmtId="49" fontId="67" fillId="2" borderId="18" xfId="1" applyNumberFormat="1" applyFont="1" applyFill="1" applyBorder="1" applyAlignment="1">
      <alignment horizontal="left" vertical="center"/>
    </xf>
    <xf numFmtId="49" fontId="67" fillId="2" borderId="1" xfId="1" applyNumberFormat="1" applyFont="1" applyFill="1" applyBorder="1" applyAlignment="1">
      <alignment vertical="center" wrapText="1"/>
    </xf>
    <xf numFmtId="0" fontId="67" fillId="2" borderId="1" xfId="1" applyNumberFormat="1" applyFont="1" applyFill="1" applyBorder="1" applyAlignment="1">
      <alignment horizontal="center" vertical="center" wrapText="1"/>
    </xf>
    <xf numFmtId="0" fontId="67" fillId="2" borderId="14" xfId="1" applyNumberFormat="1" applyFont="1" applyFill="1" applyBorder="1" applyAlignment="1">
      <alignment horizontal="center" vertical="center"/>
    </xf>
    <xf numFmtId="0" fontId="67" fillId="2" borderId="13" xfId="1" applyNumberFormat="1" applyFont="1" applyFill="1" applyBorder="1" applyAlignment="1">
      <alignment horizontal="center" vertical="center" wrapText="1"/>
    </xf>
    <xf numFmtId="0" fontId="67" fillId="2" borderId="1" xfId="1" applyFont="1" applyFill="1" applyBorder="1" applyAlignment="1">
      <alignment horizontal="center" vertical="center" wrapText="1"/>
    </xf>
    <xf numFmtId="0" fontId="67" fillId="2" borderId="8" xfId="1" applyNumberFormat="1" applyFont="1" applyFill="1" applyBorder="1" applyAlignment="1">
      <alignment horizontal="center" vertical="center"/>
    </xf>
    <xf numFmtId="0" fontId="67" fillId="2" borderId="13" xfId="1" applyNumberFormat="1" applyFont="1" applyFill="1" applyBorder="1" applyAlignment="1">
      <alignment horizontal="center" vertical="center"/>
    </xf>
    <xf numFmtId="0" fontId="67" fillId="2" borderId="9" xfId="1" applyNumberFormat="1" applyFont="1" applyFill="1" applyBorder="1" applyAlignment="1">
      <alignment horizontal="center" vertical="center" wrapText="1"/>
    </xf>
    <xf numFmtId="0" fontId="67" fillId="2" borderId="1" xfId="1" applyNumberFormat="1" applyFont="1" applyFill="1" applyBorder="1" applyAlignment="1">
      <alignment horizontal="left" vertical="center" wrapText="1"/>
    </xf>
    <xf numFmtId="0" fontId="16" fillId="0" borderId="18" xfId="1" applyFont="1" applyBorder="1"/>
    <xf numFmtId="0" fontId="16" fillId="11" borderId="8" xfId="1" applyFont="1" applyFill="1" applyBorder="1" applyAlignment="1">
      <alignment vertical="center"/>
    </xf>
    <xf numFmtId="2" fontId="16" fillId="15" borderId="18" xfId="1" applyNumberFormat="1" applyFont="1" applyFill="1" applyBorder="1" applyAlignment="1">
      <alignment horizontal="center" vertical="center"/>
    </xf>
    <xf numFmtId="2" fontId="16" fillId="0" borderId="0" xfId="1" applyNumberFormat="1" applyFont="1" applyFill="1" applyBorder="1" applyAlignment="1">
      <alignment horizontal="left" vertical="center"/>
    </xf>
    <xf numFmtId="1" fontId="16" fillId="15" borderId="8" xfId="1" applyNumberFormat="1" applyFont="1" applyFill="1" applyBorder="1" applyAlignment="1">
      <alignment horizontal="right" vertical="center"/>
    </xf>
    <xf numFmtId="49" fontId="16" fillId="15" borderId="0" xfId="1" applyNumberFormat="1" applyFont="1" applyFill="1" applyBorder="1" applyAlignment="1">
      <alignment horizontal="left" vertical="center"/>
    </xf>
    <xf numFmtId="0" fontId="16" fillId="2" borderId="0" xfId="1" applyNumberFormat="1" applyFont="1" applyFill="1" applyBorder="1" applyAlignment="1">
      <alignment horizontal="left" vertical="center" wrapText="1"/>
    </xf>
    <xf numFmtId="1" fontId="16" fillId="16" borderId="8" xfId="1" applyNumberFormat="1" applyFont="1" applyFill="1" applyBorder="1" applyAlignment="1">
      <alignment horizontal="right" vertical="center" wrapText="1"/>
    </xf>
    <xf numFmtId="1" fontId="16" fillId="16" borderId="8" xfId="1" applyNumberFormat="1" applyFont="1" applyFill="1" applyBorder="1" applyAlignment="1">
      <alignment horizontal="left" vertical="center" wrapText="1"/>
    </xf>
    <xf numFmtId="1" fontId="16" fillId="16" borderId="7" xfId="1" applyNumberFormat="1" applyFont="1" applyFill="1" applyBorder="1" applyAlignment="1">
      <alignment horizontal="right" vertical="center" wrapText="1"/>
    </xf>
    <xf numFmtId="0" fontId="16" fillId="16" borderId="9" xfId="1" applyFont="1" applyFill="1" applyBorder="1" applyAlignment="1">
      <alignment horizontal="left" vertical="center"/>
    </xf>
    <xf numFmtId="49" fontId="16" fillId="16" borderId="18" xfId="1" applyNumberFormat="1" applyFont="1" applyFill="1" applyBorder="1" applyAlignment="1">
      <alignment horizontal="left" vertical="center"/>
    </xf>
    <xf numFmtId="0" fontId="16" fillId="20" borderId="8" xfId="1" applyFont="1" applyFill="1" applyBorder="1" applyAlignment="1">
      <alignment vertical="center"/>
    </xf>
    <xf numFmtId="1" fontId="16" fillId="2" borderId="8" xfId="1" applyNumberFormat="1" applyFont="1" applyFill="1" applyBorder="1" applyAlignment="1">
      <alignment horizontal="right" vertical="center"/>
    </xf>
    <xf numFmtId="2" fontId="16" fillId="2" borderId="8" xfId="1" applyNumberFormat="1" applyFont="1" applyFill="1" applyBorder="1" applyAlignment="1">
      <alignment horizontal="left" vertical="center"/>
    </xf>
    <xf numFmtId="0" fontId="16" fillId="0" borderId="18" xfId="1" applyFont="1" applyBorder="1" applyAlignment="1">
      <alignment horizontal="left"/>
    </xf>
    <xf numFmtId="0" fontId="16" fillId="0" borderId="1" xfId="1" applyFont="1" applyBorder="1"/>
    <xf numFmtId="0" fontId="40" fillId="2" borderId="1" xfId="1" applyNumberFormat="1" applyFont="1" applyFill="1" applyBorder="1" applyAlignment="1">
      <alignment horizontal="left" vertical="center" wrapText="1"/>
    </xf>
    <xf numFmtId="0" fontId="16" fillId="15" borderId="1" xfId="1" applyNumberFormat="1" applyFont="1" applyFill="1" applyBorder="1" applyAlignment="1">
      <alignment vertical="center" wrapText="1"/>
    </xf>
    <xf numFmtId="49" fontId="16" fillId="2" borderId="0" xfId="1" applyNumberFormat="1" applyFont="1" applyFill="1" applyBorder="1" applyAlignment="1">
      <alignment horizontal="left" vertical="center"/>
    </xf>
    <xf numFmtId="2" fontId="70" fillId="23" borderId="1" xfId="1" applyNumberFormat="1" applyFont="1" applyFill="1" applyBorder="1" applyAlignment="1">
      <alignment horizontal="center" vertical="center"/>
    </xf>
    <xf numFmtId="49" fontId="16" fillId="2" borderId="0" xfId="1" applyNumberFormat="1" applyFont="1" applyFill="1" applyBorder="1" applyAlignment="1">
      <alignment horizontal="right" vertical="center"/>
    </xf>
    <xf numFmtId="0" fontId="16" fillId="40" borderId="1" xfId="1" applyNumberFormat="1" applyFont="1" applyFill="1" applyBorder="1" applyAlignment="1">
      <alignment vertical="center" wrapText="1"/>
    </xf>
    <xf numFmtId="0" fontId="16" fillId="15" borderId="7" xfId="1" applyNumberFormat="1" applyFont="1" applyFill="1" applyBorder="1" applyAlignment="1">
      <alignment horizontal="right" vertical="center"/>
    </xf>
    <xf numFmtId="2" fontId="16" fillId="15" borderId="21" xfId="1" applyNumberFormat="1" applyFont="1" applyFill="1" applyBorder="1" applyAlignment="1">
      <alignment horizontal="center" vertical="center"/>
    </xf>
    <xf numFmtId="2" fontId="16" fillId="15" borderId="20" xfId="1" applyNumberFormat="1" applyFont="1" applyFill="1" applyBorder="1" applyAlignment="1">
      <alignment horizontal="center" vertical="center"/>
    </xf>
    <xf numFmtId="1" fontId="16" fillId="15" borderId="8" xfId="1" applyNumberFormat="1" applyFont="1" applyFill="1" applyBorder="1" applyAlignment="1">
      <alignment horizontal="center" vertical="center"/>
    </xf>
    <xf numFmtId="0" fontId="16" fillId="15" borderId="8" xfId="1" applyNumberFormat="1" applyFont="1" applyFill="1" applyBorder="1" applyAlignment="1">
      <alignment horizontal="center" vertical="center"/>
    </xf>
    <xf numFmtId="0" fontId="16" fillId="16" borderId="8" xfId="1" applyFont="1" applyFill="1" applyBorder="1" applyAlignment="1">
      <alignment vertical="center"/>
    </xf>
    <xf numFmtId="2" fontId="16" fillId="0" borderId="20" xfId="1" applyNumberFormat="1" applyFont="1" applyFill="1" applyBorder="1" applyAlignment="1">
      <alignment horizontal="center" vertical="center"/>
    </xf>
    <xf numFmtId="0" fontId="16" fillId="2" borderId="18" xfId="1" applyNumberFormat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vertical="center"/>
    </xf>
    <xf numFmtId="1" fontId="16" fillId="23" borderId="20" xfId="1" applyNumberFormat="1" applyFont="1" applyFill="1" applyBorder="1" applyAlignment="1">
      <alignment horizontal="left" vertical="center"/>
    </xf>
    <xf numFmtId="0" fontId="39" fillId="23" borderId="1" xfId="1" applyNumberFormat="1" applyFont="1" applyFill="1" applyBorder="1" applyAlignment="1">
      <alignment horizontal="center" vertical="center"/>
    </xf>
    <xf numFmtId="1" fontId="16" fillId="2" borderId="32" xfId="1" applyNumberFormat="1" applyFont="1" applyFill="1" applyBorder="1" applyAlignment="1">
      <alignment horizontal="right" vertical="center"/>
    </xf>
    <xf numFmtId="49" fontId="67" fillId="15" borderId="18" xfId="1" applyNumberFormat="1" applyFont="1" applyFill="1" applyBorder="1" applyAlignment="1">
      <alignment horizontal="left" vertical="center"/>
    </xf>
    <xf numFmtId="49" fontId="67" fillId="15" borderId="1" xfId="1" applyNumberFormat="1" applyFont="1" applyFill="1" applyBorder="1" applyAlignment="1">
      <alignment vertical="center" wrapText="1"/>
    </xf>
    <xf numFmtId="0" fontId="67" fillId="15" borderId="1" xfId="1" applyNumberFormat="1" applyFont="1" applyFill="1" applyBorder="1" applyAlignment="1">
      <alignment horizontal="center" vertical="center" wrapText="1"/>
    </xf>
    <xf numFmtId="0" fontId="67" fillId="15" borderId="14" xfId="1" applyNumberFormat="1" applyFont="1" applyFill="1" applyBorder="1" applyAlignment="1">
      <alignment horizontal="center" vertical="center"/>
    </xf>
    <xf numFmtId="0" fontId="67" fillId="15" borderId="13" xfId="1" applyNumberFormat="1" applyFont="1" applyFill="1" applyBorder="1" applyAlignment="1">
      <alignment horizontal="center" vertical="center" wrapText="1"/>
    </xf>
    <xf numFmtId="0" fontId="67" fillId="15" borderId="8" xfId="1" applyNumberFormat="1" applyFont="1" applyFill="1" applyBorder="1" applyAlignment="1">
      <alignment horizontal="center" vertical="center" wrapText="1"/>
    </xf>
    <xf numFmtId="0" fontId="67" fillId="15" borderId="9" xfId="1" applyNumberFormat="1" applyFont="1" applyFill="1" applyBorder="1" applyAlignment="1">
      <alignment horizontal="center" vertical="center" wrapText="1"/>
    </xf>
    <xf numFmtId="0" fontId="67" fillId="15" borderId="1" xfId="1" applyNumberFormat="1" applyFont="1" applyFill="1" applyBorder="1" applyAlignment="1">
      <alignment horizontal="left" vertical="center" wrapText="1"/>
    </xf>
    <xf numFmtId="0" fontId="16" fillId="15" borderId="18" xfId="1" applyFont="1" applyFill="1" applyBorder="1"/>
    <xf numFmtId="0" fontId="16" fillId="15" borderId="0" xfId="1" applyFont="1" applyFill="1" applyBorder="1"/>
    <xf numFmtId="0" fontId="16" fillId="10" borderId="8" xfId="1" applyFont="1" applyFill="1" applyBorder="1" applyAlignment="1">
      <alignment vertical="center"/>
    </xf>
    <xf numFmtId="0" fontId="40" fillId="16" borderId="1" xfId="1" applyNumberFormat="1" applyFont="1" applyFill="1" applyBorder="1" applyAlignment="1">
      <alignment horizontal="center" vertical="center" wrapText="1"/>
    </xf>
    <xf numFmtId="0" fontId="40" fillId="16" borderId="1" xfId="1" applyNumberFormat="1" applyFont="1" applyFill="1" applyBorder="1" applyAlignment="1">
      <alignment horizontal="left" vertical="center" wrapText="1"/>
    </xf>
    <xf numFmtId="49" fontId="40" fillId="16" borderId="1" xfId="1" applyNumberFormat="1" applyFont="1" applyFill="1" applyBorder="1" applyAlignment="1">
      <alignment horizontal="center" vertical="center" wrapText="1"/>
    </xf>
    <xf numFmtId="49" fontId="40" fillId="16" borderId="1" xfId="1" applyNumberFormat="1" applyFont="1" applyFill="1" applyBorder="1" applyAlignment="1">
      <alignment horizontal="left" vertical="center" wrapText="1"/>
    </xf>
    <xf numFmtId="2" fontId="40" fillId="16" borderId="1" xfId="1" applyNumberFormat="1" applyFont="1" applyFill="1" applyBorder="1" applyAlignment="1">
      <alignment horizontal="left" vertical="center"/>
    </xf>
    <xf numFmtId="1" fontId="40" fillId="16" borderId="1" xfId="1" applyNumberFormat="1" applyFont="1" applyFill="1" applyBorder="1" applyAlignment="1">
      <alignment horizontal="center" vertical="center"/>
    </xf>
    <xf numFmtId="49" fontId="40" fillId="16" borderId="1" xfId="1" applyNumberFormat="1" applyFont="1" applyFill="1" applyBorder="1" applyAlignment="1">
      <alignment vertical="center"/>
    </xf>
    <xf numFmtId="0" fontId="63" fillId="16" borderId="1" xfId="1" applyNumberFormat="1" applyFont="1" applyFill="1" applyBorder="1" applyAlignment="1">
      <alignment horizontal="left" vertical="center" wrapText="1"/>
    </xf>
    <xf numFmtId="0" fontId="39" fillId="16" borderId="1" xfId="1" applyNumberFormat="1" applyFont="1" applyFill="1" applyBorder="1" applyAlignment="1">
      <alignment horizontal="center" vertical="center" wrapText="1"/>
    </xf>
    <xf numFmtId="0" fontId="40" fillId="16" borderId="12" xfId="1" applyNumberFormat="1" applyFont="1" applyFill="1" applyBorder="1" applyAlignment="1">
      <alignment horizontal="left" vertical="center" wrapText="1"/>
    </xf>
    <xf numFmtId="0" fontId="16" fillId="16" borderId="25" xfId="1" applyNumberFormat="1" applyFont="1" applyFill="1" applyBorder="1" applyAlignment="1">
      <alignment vertical="center" wrapText="1"/>
    </xf>
    <xf numFmtId="2" fontId="40" fillId="16" borderId="29" xfId="1" applyNumberFormat="1" applyFont="1" applyFill="1" applyBorder="1" applyAlignment="1">
      <alignment horizontal="center" vertical="center"/>
    </xf>
    <xf numFmtId="2" fontId="40" fillId="16" borderId="30" xfId="1" applyNumberFormat="1" applyFont="1" applyFill="1" applyBorder="1" applyAlignment="1">
      <alignment vertical="center"/>
    </xf>
    <xf numFmtId="0" fontId="40" fillId="16" borderId="1" xfId="1" applyFont="1" applyFill="1" applyBorder="1" applyAlignment="1">
      <alignment vertical="center"/>
    </xf>
    <xf numFmtId="0" fontId="39" fillId="16" borderId="2" xfId="1" applyFont="1" applyFill="1" applyBorder="1" applyAlignment="1">
      <alignment vertical="center" wrapText="1"/>
    </xf>
    <xf numFmtId="0" fontId="33" fillId="16" borderId="1" xfId="1" applyFont="1" applyFill="1" applyBorder="1" applyAlignment="1">
      <alignment vertical="center"/>
    </xf>
    <xf numFmtId="0" fontId="40" fillId="16" borderId="32" xfId="1" applyNumberFormat="1" applyFont="1" applyFill="1" applyBorder="1" applyAlignment="1">
      <alignment horizontal="right" vertical="center"/>
    </xf>
    <xf numFmtId="0" fontId="40" fillId="16" borderId="18" xfId="1" applyNumberFormat="1" applyFont="1" applyFill="1" applyBorder="1" applyAlignment="1">
      <alignment horizontal="left" vertical="center"/>
    </xf>
    <xf numFmtId="0" fontId="40" fillId="16" borderId="20" xfId="1" applyNumberFormat="1" applyFont="1" applyFill="1" applyBorder="1" applyAlignment="1">
      <alignment horizontal="left" vertical="center"/>
    </xf>
    <xf numFmtId="2" fontId="40" fillId="16" borderId="1" xfId="1" applyNumberFormat="1" applyFont="1" applyFill="1" applyBorder="1" applyAlignment="1">
      <alignment horizontal="center" vertical="center"/>
    </xf>
    <xf numFmtId="1" fontId="40" fillId="16" borderId="7" xfId="1" applyNumberFormat="1" applyFont="1" applyFill="1" applyBorder="1" applyAlignment="1">
      <alignment horizontal="right" vertical="center"/>
    </xf>
    <xf numFmtId="2" fontId="40" fillId="16" borderId="7" xfId="1" applyNumberFormat="1" applyFont="1" applyFill="1" applyBorder="1" applyAlignment="1">
      <alignment horizontal="left" vertical="center"/>
    </xf>
    <xf numFmtId="2" fontId="16" fillId="16" borderId="21" xfId="1" applyNumberFormat="1" applyFont="1" applyFill="1" applyBorder="1" applyAlignment="1">
      <alignment horizontal="center" vertical="center"/>
    </xf>
    <xf numFmtId="2" fontId="16" fillId="16" borderId="18" xfId="1" applyNumberFormat="1" applyFont="1" applyFill="1" applyBorder="1" applyAlignment="1">
      <alignment horizontal="center" vertical="center"/>
    </xf>
    <xf numFmtId="1" fontId="16" fillId="16" borderId="20" xfId="1" applyNumberFormat="1" applyFont="1" applyFill="1" applyBorder="1" applyAlignment="1">
      <alignment horizontal="left" vertical="center"/>
    </xf>
    <xf numFmtId="0" fontId="66" fillId="16" borderId="14" xfId="1" applyFont="1" applyFill="1" applyBorder="1" applyAlignment="1">
      <alignment horizontal="center" vertical="center"/>
    </xf>
    <xf numFmtId="0" fontId="40" fillId="16" borderId="13" xfId="1" applyFont="1" applyFill="1" applyBorder="1" applyAlignment="1">
      <alignment horizontal="left" vertical="center"/>
    </xf>
    <xf numFmtId="0" fontId="16" fillId="40" borderId="7" xfId="1" applyFont="1" applyFill="1" applyBorder="1" applyAlignment="1">
      <alignment vertical="center"/>
    </xf>
    <xf numFmtId="0" fontId="16" fillId="40" borderId="18" xfId="1" applyFont="1" applyFill="1" applyBorder="1" applyAlignment="1">
      <alignment vertical="center"/>
    </xf>
    <xf numFmtId="0" fontId="16" fillId="40" borderId="31" xfId="1" applyFont="1" applyFill="1" applyBorder="1" applyAlignment="1">
      <alignment vertical="center"/>
    </xf>
    <xf numFmtId="1" fontId="16" fillId="16" borderId="1" xfId="1" applyNumberFormat="1" applyFont="1" applyFill="1" applyBorder="1" applyAlignment="1">
      <alignment horizontal="right" vertical="center"/>
    </xf>
    <xf numFmtId="49" fontId="40" fillId="16" borderId="21" xfId="1" applyNumberFormat="1" applyFont="1" applyFill="1" applyBorder="1" applyAlignment="1">
      <alignment horizontal="right" vertical="center"/>
    </xf>
    <xf numFmtId="49" fontId="40" fillId="16" borderId="18" xfId="1" applyNumberFormat="1" applyFont="1" applyFill="1" applyBorder="1" applyAlignment="1">
      <alignment horizontal="left" vertical="center"/>
    </xf>
    <xf numFmtId="49" fontId="40" fillId="16" borderId="18" xfId="1" applyNumberFormat="1" applyFont="1" applyFill="1" applyBorder="1" applyAlignment="1">
      <alignment horizontal="center" vertical="center"/>
    </xf>
    <xf numFmtId="0" fontId="16" fillId="16" borderId="20" xfId="1" applyNumberFormat="1" applyFont="1" applyFill="1" applyBorder="1" applyAlignment="1">
      <alignment horizontal="left" vertical="center" wrapText="1"/>
    </xf>
    <xf numFmtId="0" fontId="16" fillId="16" borderId="9" xfId="1" applyNumberFormat="1" applyFont="1" applyFill="1" applyBorder="1" applyAlignment="1">
      <alignment horizontal="left" vertical="center" wrapText="1"/>
    </xf>
    <xf numFmtId="49" fontId="40" fillId="16" borderId="1" xfId="1" applyNumberFormat="1" applyFont="1" applyFill="1" applyBorder="1" applyAlignment="1">
      <alignment vertical="center" wrapText="1"/>
    </xf>
    <xf numFmtId="0" fontId="39" fillId="16" borderId="1" xfId="1" applyNumberFormat="1" applyFont="1" applyFill="1" applyBorder="1" applyAlignment="1">
      <alignment horizontal="center" vertical="center"/>
    </xf>
    <xf numFmtId="1" fontId="40" fillId="16" borderId="1" xfId="1" applyNumberFormat="1" applyFont="1" applyFill="1" applyBorder="1" applyAlignment="1">
      <alignment horizontal="center" vertical="center" wrapText="1"/>
    </xf>
    <xf numFmtId="1" fontId="39" fillId="16" borderId="2" xfId="1" applyNumberFormat="1" applyFont="1" applyFill="1" applyBorder="1" applyAlignment="1">
      <alignment horizontal="center" vertical="center"/>
    </xf>
    <xf numFmtId="2" fontId="40" fillId="23" borderId="1" xfId="1" applyNumberFormat="1" applyFont="1" applyFill="1" applyBorder="1" applyAlignment="1">
      <alignment horizontal="center" vertical="center"/>
    </xf>
    <xf numFmtId="0" fontId="40" fillId="16" borderId="1" xfId="1" applyFont="1" applyFill="1" applyBorder="1" applyAlignment="1">
      <alignment horizontal="center" vertical="center"/>
    </xf>
    <xf numFmtId="1" fontId="40" fillId="16" borderId="8" xfId="1" applyNumberFormat="1" applyFont="1" applyFill="1" applyBorder="1" applyAlignment="1">
      <alignment horizontal="right" vertical="center" wrapText="1"/>
    </xf>
    <xf numFmtId="1" fontId="40" fillId="16" borderId="8" xfId="1" applyNumberFormat="1" applyFont="1" applyFill="1" applyBorder="1" applyAlignment="1">
      <alignment horizontal="left" vertical="center" wrapText="1"/>
    </xf>
    <xf numFmtId="0" fontId="16" fillId="16" borderId="21" xfId="1" applyFont="1" applyFill="1" applyBorder="1" applyAlignment="1">
      <alignment vertical="center"/>
    </xf>
    <xf numFmtId="49" fontId="16" fillId="16" borderId="32" xfId="1" applyNumberFormat="1" applyFont="1" applyFill="1" applyBorder="1" applyAlignment="1">
      <alignment horizontal="right" vertical="center" wrapText="1"/>
    </xf>
    <xf numFmtId="0" fontId="16" fillId="16" borderId="20" xfId="1" applyNumberFormat="1" applyFont="1" applyFill="1" applyBorder="1" applyAlignment="1">
      <alignment horizontal="center" vertical="center" wrapText="1"/>
    </xf>
    <xf numFmtId="0" fontId="66" fillId="16" borderId="13" xfId="1" applyFont="1" applyFill="1" applyBorder="1" applyAlignment="1">
      <alignment horizontal="left" vertical="center"/>
    </xf>
    <xf numFmtId="1" fontId="40" fillId="16" borderId="7" xfId="1" applyNumberFormat="1" applyFont="1" applyFill="1" applyBorder="1" applyAlignment="1">
      <alignment horizontal="right" vertical="center" wrapText="1"/>
    </xf>
    <xf numFmtId="0" fontId="40" fillId="16" borderId="9" xfId="1" applyFont="1" applyFill="1" applyBorder="1" applyAlignment="1">
      <alignment horizontal="left" vertical="center"/>
    </xf>
    <xf numFmtId="49" fontId="16" fillId="16" borderId="21" xfId="1" applyNumberFormat="1" applyFont="1" applyFill="1" applyBorder="1" applyAlignment="1">
      <alignment horizontal="right" vertical="center" wrapText="1"/>
    </xf>
    <xf numFmtId="49" fontId="40" fillId="16" borderId="32" xfId="1" applyNumberFormat="1" applyFont="1" applyFill="1" applyBorder="1" applyAlignment="1">
      <alignment horizontal="right" vertical="center" wrapText="1"/>
    </xf>
    <xf numFmtId="0" fontId="40" fillId="16" borderId="20" xfId="1" applyNumberFormat="1" applyFont="1" applyFill="1" applyBorder="1" applyAlignment="1">
      <alignment horizontal="left" vertical="center" wrapText="1"/>
    </xf>
    <xf numFmtId="49" fontId="40" fillId="16" borderId="9" xfId="1" applyNumberFormat="1" applyFont="1" applyFill="1" applyBorder="1" applyAlignment="1">
      <alignment vertical="center"/>
    </xf>
    <xf numFmtId="0" fontId="40" fillId="16" borderId="1" xfId="1" applyNumberFormat="1" applyFont="1" applyFill="1" applyBorder="1" applyAlignment="1">
      <alignment horizontal="center" vertical="center"/>
    </xf>
    <xf numFmtId="0" fontId="39" fillId="16" borderId="2" xfId="1" applyFont="1" applyFill="1" applyBorder="1" applyAlignment="1">
      <alignment horizontal="center" vertical="center"/>
    </xf>
    <xf numFmtId="0" fontId="66" fillId="16" borderId="1" xfId="1" applyNumberFormat="1" applyFont="1" applyFill="1" applyBorder="1" applyAlignment="1">
      <alignment horizontal="center" vertical="center" wrapText="1"/>
    </xf>
    <xf numFmtId="1" fontId="40" fillId="16" borderId="7" xfId="1" applyNumberFormat="1" applyFont="1" applyFill="1" applyBorder="1" applyAlignment="1">
      <alignment horizontal="center" vertical="center"/>
    </xf>
    <xf numFmtId="0" fontId="40" fillId="16" borderId="0" xfId="1" applyFont="1" applyFill="1" applyBorder="1" applyAlignment="1">
      <alignment vertical="center"/>
    </xf>
    <xf numFmtId="0" fontId="40" fillId="16" borderId="14" xfId="1" applyNumberFormat="1" applyFont="1" applyFill="1" applyBorder="1" applyAlignment="1">
      <alignment horizontal="center" vertical="center"/>
    </xf>
    <xf numFmtId="0" fontId="40" fillId="16" borderId="15" xfId="1" applyNumberFormat="1" applyFont="1" applyFill="1" applyBorder="1" applyAlignment="1">
      <alignment horizontal="center" vertical="center" wrapText="1"/>
    </xf>
    <xf numFmtId="0" fontId="40" fillId="16" borderId="13" xfId="1" applyNumberFormat="1" applyFont="1" applyFill="1" applyBorder="1" applyAlignment="1">
      <alignment horizontal="center" vertical="center"/>
    </xf>
    <xf numFmtId="1" fontId="66" fillId="16" borderId="7" xfId="1" applyNumberFormat="1" applyFont="1" applyFill="1" applyBorder="1" applyAlignment="1">
      <alignment horizontal="right" vertical="center"/>
    </xf>
    <xf numFmtId="2" fontId="66" fillId="16" borderId="1" xfId="1" applyNumberFormat="1" applyFont="1" applyFill="1" applyBorder="1" applyAlignment="1">
      <alignment horizontal="center" vertical="center"/>
    </xf>
    <xf numFmtId="0" fontId="40" fillId="16" borderId="14" xfId="1" applyFont="1" applyFill="1" applyBorder="1" applyAlignment="1">
      <alignment vertical="center"/>
    </xf>
    <xf numFmtId="0" fontId="40" fillId="16" borderId="13" xfId="1" applyFont="1" applyFill="1" applyBorder="1" applyAlignment="1">
      <alignment vertical="center"/>
    </xf>
    <xf numFmtId="1" fontId="66" fillId="16" borderId="8" xfId="1" applyNumberFormat="1" applyFont="1" applyFill="1" applyBorder="1" applyAlignment="1">
      <alignment horizontal="center" vertical="center"/>
    </xf>
    <xf numFmtId="1" fontId="66" fillId="16" borderId="24" xfId="1" applyNumberFormat="1" applyFont="1" applyFill="1" applyBorder="1" applyAlignment="1">
      <alignment horizontal="center" vertical="center" wrapText="1"/>
    </xf>
    <xf numFmtId="0" fontId="40" fillId="16" borderId="13" xfId="1" applyNumberFormat="1" applyFont="1" applyFill="1" applyBorder="1" applyAlignment="1">
      <alignment horizontal="center" vertical="center" wrapText="1"/>
    </xf>
    <xf numFmtId="0" fontId="40" fillId="16" borderId="8" xfId="1" applyNumberFormat="1" applyFont="1" applyFill="1" applyBorder="1" applyAlignment="1">
      <alignment horizontal="center" vertical="center" wrapText="1"/>
    </xf>
    <xf numFmtId="0" fontId="40" fillId="16" borderId="9" xfId="1" applyNumberFormat="1" applyFont="1" applyFill="1" applyBorder="1" applyAlignment="1">
      <alignment horizontal="center" vertical="center"/>
    </xf>
    <xf numFmtId="0" fontId="40" fillId="16" borderId="1" xfId="1" applyNumberFormat="1" applyFont="1" applyFill="1" applyBorder="1" applyAlignment="1">
      <alignment horizontal="left" vertical="center"/>
    </xf>
    <xf numFmtId="0" fontId="40" fillId="16" borderId="1" xfId="1" applyNumberFormat="1" applyFont="1" applyFill="1" applyBorder="1" applyAlignment="1">
      <alignment vertical="center"/>
    </xf>
    <xf numFmtId="0" fontId="40" fillId="16" borderId="9" xfId="1" applyNumberFormat="1" applyFont="1" applyFill="1" applyBorder="1" applyAlignment="1">
      <alignment horizontal="left" vertical="center" wrapText="1"/>
    </xf>
    <xf numFmtId="0" fontId="40" fillId="16" borderId="24" xfId="1" applyNumberFormat="1" applyFont="1" applyFill="1" applyBorder="1" applyAlignment="1">
      <alignment horizontal="left" vertical="center" wrapText="1"/>
    </xf>
    <xf numFmtId="0" fontId="40" fillId="16" borderId="24" xfId="1" applyNumberFormat="1" applyFont="1" applyFill="1" applyBorder="1" applyAlignment="1">
      <alignment horizontal="left" vertical="center"/>
    </xf>
    <xf numFmtId="0" fontId="40" fillId="16" borderId="20" xfId="1" applyNumberFormat="1" applyFont="1" applyFill="1" applyBorder="1" applyAlignment="1">
      <alignment horizontal="right" vertical="center" wrapText="1"/>
    </xf>
    <xf numFmtId="0" fontId="40" fillId="16" borderId="31" xfId="1" applyNumberFormat="1" applyFont="1" applyFill="1" applyBorder="1" applyAlignment="1">
      <alignment horizontal="center" vertical="center" wrapText="1"/>
    </xf>
    <xf numFmtId="1" fontId="66" fillId="16" borderId="1" xfId="1" applyNumberFormat="1" applyFont="1" applyFill="1" applyBorder="1" applyAlignment="1">
      <alignment horizontal="center" vertical="center"/>
    </xf>
    <xf numFmtId="0" fontId="16" fillId="8" borderId="8" xfId="1" applyFont="1" applyFill="1" applyBorder="1" applyAlignment="1">
      <alignment vertical="center"/>
    </xf>
    <xf numFmtId="0" fontId="40" fillId="2" borderId="1" xfId="1" applyNumberFormat="1" applyFont="1" applyFill="1" applyBorder="1" applyAlignment="1">
      <alignment horizontal="center" vertical="center" wrapText="1"/>
    </xf>
    <xf numFmtId="49" fontId="16" fillId="6" borderId="18" xfId="1" applyNumberFormat="1" applyFont="1" applyFill="1" applyBorder="1" applyAlignment="1">
      <alignment horizontal="left" vertical="center"/>
    </xf>
    <xf numFmtId="0" fontId="16" fillId="0" borderId="14" xfId="1" applyFont="1" applyBorder="1"/>
    <xf numFmtId="0" fontId="16" fillId="0" borderId="13" xfId="1" applyFont="1" applyBorder="1"/>
    <xf numFmtId="0" fontId="16" fillId="0" borderId="8" xfId="1" applyFont="1" applyBorder="1"/>
    <xf numFmtId="0" fontId="16" fillId="6" borderId="20" xfId="1" applyNumberFormat="1" applyFont="1" applyFill="1" applyBorder="1" applyAlignment="1">
      <alignment horizontal="right" vertical="center" wrapText="1"/>
    </xf>
    <xf numFmtId="0" fontId="67" fillId="2" borderId="8" xfId="1" applyFont="1" applyFill="1" applyBorder="1" applyAlignment="1">
      <alignment vertical="center"/>
    </xf>
    <xf numFmtId="0" fontId="16" fillId="2" borderId="0" xfId="1" applyNumberFormat="1" applyFont="1" applyFill="1" applyBorder="1" applyAlignment="1">
      <alignment horizontal="center" vertical="center"/>
    </xf>
    <xf numFmtId="0" fontId="16" fillId="2" borderId="0" xfId="1" applyNumberFormat="1" applyFont="1" applyFill="1" applyBorder="1" applyAlignment="1">
      <alignment horizontal="center" vertical="center" wrapText="1"/>
    </xf>
    <xf numFmtId="49" fontId="16" fillId="11" borderId="21" xfId="1" applyNumberFormat="1" applyFont="1" applyFill="1" applyBorder="1" applyAlignment="1">
      <alignment horizontal="right" vertical="center"/>
    </xf>
    <xf numFmtId="0" fontId="16" fillId="4" borderId="8" xfId="1" applyFont="1" applyFill="1" applyBorder="1" applyAlignment="1">
      <alignment vertical="center"/>
    </xf>
    <xf numFmtId="2" fontId="16" fillId="0" borderId="18" xfId="1" quotePrefix="1" applyNumberFormat="1" applyFont="1" applyFill="1" applyBorder="1" applyAlignment="1">
      <alignment horizontal="center" vertical="center"/>
    </xf>
    <xf numFmtId="0" fontId="16" fillId="22" borderId="8" xfId="1" applyFont="1" applyFill="1" applyBorder="1" applyAlignment="1">
      <alignment vertical="center"/>
    </xf>
    <xf numFmtId="1" fontId="16" fillId="2" borderId="1" xfId="1" applyNumberFormat="1" applyFont="1" applyFill="1" applyBorder="1" applyAlignment="1">
      <alignment horizontal="right" vertical="center"/>
    </xf>
    <xf numFmtId="49" fontId="64" fillId="2" borderId="0" xfId="1" applyNumberFormat="1" applyFont="1" applyFill="1" applyBorder="1" applyAlignment="1">
      <alignment vertical="center" wrapText="1"/>
    </xf>
    <xf numFmtId="1" fontId="16" fillId="2" borderId="0" xfId="1" applyNumberFormat="1" applyFont="1" applyFill="1" applyBorder="1" applyAlignment="1">
      <alignment horizontal="center" vertical="center"/>
    </xf>
    <xf numFmtId="0" fontId="16" fillId="15" borderId="2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vertical="center"/>
    </xf>
    <xf numFmtId="1" fontId="16" fillId="2" borderId="7" xfId="1" quotePrefix="1" applyNumberFormat="1" applyFont="1" applyFill="1" applyBorder="1" applyAlignment="1">
      <alignment horizontal="right" vertical="center"/>
    </xf>
    <xf numFmtId="49" fontId="16" fillId="2" borderId="9" xfId="1" applyNumberFormat="1" applyFont="1" applyFill="1" applyBorder="1" applyAlignment="1">
      <alignment vertical="center" wrapText="1"/>
    </xf>
    <xf numFmtId="0" fontId="16" fillId="12" borderId="1" xfId="1" applyNumberFormat="1" applyFont="1" applyFill="1" applyBorder="1" applyAlignment="1">
      <alignment horizontal="center" vertical="center"/>
    </xf>
    <xf numFmtId="1" fontId="16" fillId="15" borderId="2" xfId="1" applyNumberFormat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left" vertical="center"/>
    </xf>
    <xf numFmtId="49" fontId="16" fillId="2" borderId="9" xfId="1" applyNumberFormat="1" applyFont="1" applyFill="1" applyBorder="1" applyAlignment="1">
      <alignment vertical="center"/>
    </xf>
    <xf numFmtId="0" fontId="16" fillId="4" borderId="1" xfId="1" applyNumberFormat="1" applyFont="1" applyFill="1" applyBorder="1" applyAlignment="1">
      <alignment horizontal="center" vertical="center"/>
    </xf>
    <xf numFmtId="0" fontId="16" fillId="15" borderId="2" xfId="1" applyFont="1" applyFill="1" applyBorder="1" applyAlignment="1">
      <alignment horizontal="center" vertical="center"/>
    </xf>
    <xf numFmtId="0" fontId="16" fillId="8" borderId="1" xfId="1" applyFont="1" applyFill="1" applyBorder="1" applyAlignment="1">
      <alignment vertical="center"/>
    </xf>
    <xf numFmtId="2" fontId="8" fillId="2" borderId="1" xfId="1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vertical="center" wrapText="1"/>
    </xf>
    <xf numFmtId="0" fontId="16" fillId="0" borderId="1" xfId="1" applyNumberFormat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left" vertical="center" wrapText="1"/>
    </xf>
    <xf numFmtId="2" fontId="16" fillId="0" borderId="1" xfId="1" applyNumberFormat="1" applyFont="1" applyFill="1" applyBorder="1" applyAlignment="1">
      <alignment horizontal="left" vertical="center"/>
    </xf>
    <xf numFmtId="1" fontId="16" fillId="0" borderId="1" xfId="1" applyNumberFormat="1" applyFont="1" applyFill="1" applyBorder="1" applyAlignment="1">
      <alignment horizontal="center" vertical="center"/>
    </xf>
    <xf numFmtId="0" fontId="67" fillId="2" borderId="9" xfId="1" applyNumberFormat="1" applyFont="1" applyFill="1" applyBorder="1" applyAlignment="1">
      <alignment horizontal="center" vertical="center"/>
    </xf>
    <xf numFmtId="49" fontId="67" fillId="2" borderId="18" xfId="1" applyNumberFormat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left" vertical="center"/>
    </xf>
    <xf numFmtId="0" fontId="16" fillId="0" borderId="9" xfId="1" applyFont="1" applyFill="1" applyBorder="1" applyAlignment="1">
      <alignment horizontal="left" vertical="center"/>
    </xf>
    <xf numFmtId="0" fontId="16" fillId="0" borderId="9" xfId="1" applyFont="1" applyBorder="1" applyAlignment="1">
      <alignment wrapText="1"/>
    </xf>
    <xf numFmtId="1" fontId="16" fillId="2" borderId="8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vertical="center" wrapText="1"/>
    </xf>
    <xf numFmtId="0" fontId="40" fillId="15" borderId="8" xfId="1" applyFont="1" applyFill="1" applyBorder="1" applyAlignment="1">
      <alignment vertical="center"/>
    </xf>
    <xf numFmtId="0" fontId="40" fillId="22" borderId="8" xfId="1" applyFont="1" applyFill="1" applyBorder="1" applyAlignment="1">
      <alignment vertical="center"/>
    </xf>
    <xf numFmtId="0" fontId="16" fillId="16" borderId="1" xfId="1" applyNumberFormat="1" applyFont="1" applyFill="1" applyBorder="1" applyAlignment="1">
      <alignment horizontal="center" vertical="center" wrapText="1"/>
    </xf>
    <xf numFmtId="0" fontId="16" fillId="16" borderId="1" xfId="1" applyNumberFormat="1" applyFont="1" applyFill="1" applyBorder="1" applyAlignment="1">
      <alignment horizontal="left" vertical="center" wrapText="1"/>
    </xf>
    <xf numFmtId="49" fontId="16" fillId="16" borderId="1" xfId="1" applyNumberFormat="1" applyFont="1" applyFill="1" applyBorder="1" applyAlignment="1">
      <alignment horizontal="center" vertical="center" wrapText="1"/>
    </xf>
    <xf numFmtId="49" fontId="16" fillId="16" borderId="1" xfId="1" applyNumberFormat="1" applyFont="1" applyFill="1" applyBorder="1" applyAlignment="1">
      <alignment horizontal="left" vertical="center" wrapText="1"/>
    </xf>
    <xf numFmtId="0" fontId="16" fillId="16" borderId="12" xfId="1" applyNumberFormat="1" applyFont="1" applyFill="1" applyBorder="1" applyAlignment="1">
      <alignment horizontal="left" vertical="center" wrapText="1"/>
    </xf>
    <xf numFmtId="2" fontId="16" fillId="16" borderId="29" xfId="1" applyNumberFormat="1" applyFont="1" applyFill="1" applyBorder="1" applyAlignment="1">
      <alignment horizontal="center" vertical="center"/>
    </xf>
    <xf numFmtId="2" fontId="16" fillId="16" borderId="30" xfId="1" applyNumberFormat="1" applyFont="1" applyFill="1" applyBorder="1" applyAlignment="1">
      <alignment vertical="center"/>
    </xf>
    <xf numFmtId="0" fontId="16" fillId="16" borderId="1" xfId="1" applyFont="1" applyFill="1" applyBorder="1" applyAlignment="1">
      <alignment vertical="center"/>
    </xf>
    <xf numFmtId="1" fontId="16" fillId="16" borderId="1" xfId="1" applyNumberFormat="1" applyFont="1" applyFill="1" applyBorder="1" applyAlignment="1">
      <alignment horizontal="center" vertical="center"/>
    </xf>
    <xf numFmtId="0" fontId="16" fillId="16" borderId="32" xfId="1" applyNumberFormat="1" applyFont="1" applyFill="1" applyBorder="1" applyAlignment="1">
      <alignment horizontal="right" vertical="center"/>
    </xf>
    <xf numFmtId="0" fontId="16" fillId="16" borderId="18" xfId="1" applyNumberFormat="1" applyFont="1" applyFill="1" applyBorder="1" applyAlignment="1">
      <alignment horizontal="left" vertical="center"/>
    </xf>
    <xf numFmtId="0" fontId="16" fillId="16" borderId="20" xfId="1" applyNumberFormat="1" applyFont="1" applyFill="1" applyBorder="1" applyAlignment="1">
      <alignment horizontal="left" vertical="center"/>
    </xf>
    <xf numFmtId="2" fontId="16" fillId="16" borderId="1" xfId="1" applyNumberFormat="1" applyFont="1" applyFill="1" applyBorder="1" applyAlignment="1">
      <alignment horizontal="center" vertical="center"/>
    </xf>
    <xf numFmtId="2" fontId="16" fillId="16" borderId="7" xfId="1" applyNumberFormat="1" applyFont="1" applyFill="1" applyBorder="1" applyAlignment="1">
      <alignment horizontal="center" vertical="center"/>
    </xf>
    <xf numFmtId="0" fontId="8" fillId="16" borderId="14" xfId="1" applyFont="1" applyFill="1" applyBorder="1" applyAlignment="1">
      <alignment horizontal="center" vertical="center"/>
    </xf>
    <xf numFmtId="0" fontId="16" fillId="16" borderId="13" xfId="1" applyFont="1" applyFill="1" applyBorder="1" applyAlignment="1">
      <alignment horizontal="left" vertical="center"/>
    </xf>
    <xf numFmtId="1" fontId="16" fillId="16" borderId="7" xfId="1" applyNumberFormat="1" applyFont="1" applyFill="1" applyBorder="1" applyAlignment="1">
      <alignment horizontal="right" vertical="center"/>
    </xf>
    <xf numFmtId="2" fontId="16" fillId="16" borderId="18" xfId="1" applyNumberFormat="1" applyFont="1" applyFill="1" applyBorder="1" applyAlignment="1">
      <alignment horizontal="left" vertical="center"/>
    </xf>
    <xf numFmtId="1" fontId="16" fillId="16" borderId="31" xfId="1" applyNumberFormat="1" applyFont="1" applyFill="1" applyBorder="1" applyAlignment="1">
      <alignment horizontal="left" vertical="center"/>
    </xf>
    <xf numFmtId="2" fontId="16" fillId="16" borderId="1" xfId="1" applyNumberFormat="1" applyFont="1" applyFill="1" applyBorder="1" applyAlignment="1">
      <alignment horizontal="left" vertical="center"/>
    </xf>
    <xf numFmtId="2" fontId="16" fillId="16" borderId="7" xfId="1" applyNumberFormat="1" applyFont="1" applyFill="1" applyBorder="1" applyAlignment="1">
      <alignment horizontal="left" vertical="center"/>
    </xf>
    <xf numFmtId="49" fontId="16" fillId="16" borderId="21" xfId="1" applyNumberFormat="1" applyFont="1" applyFill="1" applyBorder="1" applyAlignment="1">
      <alignment horizontal="right" vertical="center"/>
    </xf>
    <xf numFmtId="49" fontId="16" fillId="16" borderId="0" xfId="1" applyNumberFormat="1" applyFont="1" applyFill="1" applyBorder="1" applyAlignment="1">
      <alignment horizontal="center" vertical="center"/>
    </xf>
    <xf numFmtId="49" fontId="16" fillId="16" borderId="0" xfId="1" applyNumberFormat="1" applyFont="1" applyFill="1" applyBorder="1" applyAlignment="1">
      <alignment horizontal="left" vertical="center"/>
    </xf>
    <xf numFmtId="49" fontId="64" fillId="16" borderId="9" xfId="1" applyNumberFormat="1" applyFont="1" applyFill="1" applyBorder="1" applyAlignment="1">
      <alignment vertical="center" wrapText="1"/>
    </xf>
    <xf numFmtId="1" fontId="16" fillId="16" borderId="1" xfId="1" applyNumberFormat="1" applyFont="1" applyFill="1" applyBorder="1" applyAlignment="1">
      <alignment horizontal="center" vertical="center" wrapText="1"/>
    </xf>
    <xf numFmtId="0" fontId="16" fillId="16" borderId="1" xfId="1" applyFont="1" applyFill="1" applyBorder="1" applyAlignment="1">
      <alignment horizontal="center" vertical="center"/>
    </xf>
    <xf numFmtId="0" fontId="22" fillId="16" borderId="13" xfId="1" applyFont="1" applyFill="1" applyBorder="1" applyAlignment="1">
      <alignment horizontal="left" vertical="center"/>
    </xf>
    <xf numFmtId="49" fontId="64" fillId="16" borderId="9" xfId="1" applyNumberFormat="1" applyFont="1" applyFill="1" applyBorder="1" applyAlignment="1">
      <alignment vertical="center"/>
    </xf>
    <xf numFmtId="0" fontId="65" fillId="16" borderId="1" xfId="1" applyNumberFormat="1" applyFont="1" applyFill="1" applyBorder="1" applyAlignment="1">
      <alignment horizontal="center" vertical="center"/>
    </xf>
    <xf numFmtId="0" fontId="8" fillId="16" borderId="1" xfId="1" applyNumberFormat="1" applyFont="1" applyFill="1" applyBorder="1" applyAlignment="1">
      <alignment horizontal="center" vertical="center" wrapText="1"/>
    </xf>
    <xf numFmtId="1" fontId="16" fillId="16" borderId="7" xfId="1" applyNumberFormat="1" applyFont="1" applyFill="1" applyBorder="1" applyAlignment="1">
      <alignment horizontal="center" vertical="center"/>
    </xf>
    <xf numFmtId="0" fontId="16" fillId="16" borderId="0" xfId="1" applyFont="1" applyFill="1" applyBorder="1" applyAlignment="1">
      <alignment vertical="center"/>
    </xf>
    <xf numFmtId="0" fontId="16" fillId="16" borderId="1" xfId="1" applyNumberFormat="1" applyFont="1" applyFill="1" applyBorder="1" applyAlignment="1">
      <alignment horizontal="center" vertical="center"/>
    </xf>
    <xf numFmtId="0" fontId="16" fillId="16" borderId="14" xfId="1" applyNumberFormat="1" applyFont="1" applyFill="1" applyBorder="1" applyAlignment="1">
      <alignment horizontal="center" vertical="center"/>
    </xf>
    <xf numFmtId="0" fontId="16" fillId="16" borderId="15" xfId="1" applyNumberFormat="1" applyFont="1" applyFill="1" applyBorder="1" applyAlignment="1">
      <alignment horizontal="center" vertical="center" wrapText="1"/>
    </xf>
    <xf numFmtId="0" fontId="16" fillId="16" borderId="13" xfId="1" applyNumberFormat="1" applyFont="1" applyFill="1" applyBorder="1" applyAlignment="1">
      <alignment horizontal="center" vertical="center"/>
    </xf>
    <xf numFmtId="1" fontId="8" fillId="16" borderId="7" xfId="1" applyNumberFormat="1" applyFont="1" applyFill="1" applyBorder="1" applyAlignment="1">
      <alignment horizontal="right" vertical="center"/>
    </xf>
    <xf numFmtId="2" fontId="22" fillId="16" borderId="1" xfId="1" applyNumberFormat="1" applyFont="1" applyFill="1" applyBorder="1" applyAlignment="1">
      <alignment horizontal="center" vertical="center"/>
    </xf>
    <xf numFmtId="0" fontId="16" fillId="16" borderId="14" xfId="1" applyFont="1" applyFill="1" applyBorder="1" applyAlignment="1">
      <alignment vertical="center"/>
    </xf>
    <xf numFmtId="0" fontId="16" fillId="16" borderId="13" xfId="1" applyFont="1" applyFill="1" applyBorder="1" applyAlignment="1">
      <alignment vertical="center"/>
    </xf>
    <xf numFmtId="1" fontId="8" fillId="16" borderId="8" xfId="1" applyNumberFormat="1" applyFont="1" applyFill="1" applyBorder="1" applyAlignment="1">
      <alignment horizontal="center" vertical="center"/>
    </xf>
    <xf numFmtId="1" fontId="8" fillId="16" borderId="24" xfId="1" applyNumberFormat="1" applyFont="1" applyFill="1" applyBorder="1" applyAlignment="1">
      <alignment horizontal="center" vertical="center" wrapText="1"/>
    </xf>
    <xf numFmtId="1" fontId="16" fillId="16" borderId="8" xfId="1" applyNumberFormat="1" applyFont="1" applyFill="1" applyBorder="1" applyAlignment="1">
      <alignment horizontal="center" vertical="center"/>
    </xf>
    <xf numFmtId="0" fontId="16" fillId="16" borderId="13" xfId="1" applyNumberFormat="1" applyFont="1" applyFill="1" applyBorder="1" applyAlignment="1">
      <alignment horizontal="center" vertical="center" wrapText="1"/>
    </xf>
    <xf numFmtId="0" fontId="16" fillId="16" borderId="1" xfId="1" applyFont="1" applyFill="1" applyBorder="1" applyAlignment="1">
      <alignment horizontal="center" vertical="center" wrapText="1"/>
    </xf>
    <xf numFmtId="0" fontId="16" fillId="16" borderId="8" xfId="1" applyNumberFormat="1" applyFont="1" applyFill="1" applyBorder="1" applyAlignment="1">
      <alignment horizontal="center" vertical="center" wrapText="1"/>
    </xf>
    <xf numFmtId="0" fontId="16" fillId="16" borderId="9" xfId="1" applyNumberFormat="1" applyFont="1" applyFill="1" applyBorder="1" applyAlignment="1">
      <alignment horizontal="center" vertical="center"/>
    </xf>
    <xf numFmtId="0" fontId="16" fillId="16" borderId="1" xfId="1" applyNumberFormat="1" applyFont="1" applyFill="1" applyBorder="1" applyAlignment="1">
      <alignment horizontal="left" vertical="center"/>
    </xf>
    <xf numFmtId="0" fontId="16" fillId="16" borderId="1" xfId="1" applyNumberFormat="1" applyFont="1" applyFill="1" applyBorder="1" applyAlignment="1">
      <alignment vertical="center"/>
    </xf>
    <xf numFmtId="0" fontId="16" fillId="16" borderId="24" xfId="1" applyNumberFormat="1" applyFont="1" applyFill="1" applyBorder="1" applyAlignment="1">
      <alignment horizontal="left" vertical="center" wrapText="1"/>
    </xf>
    <xf numFmtId="49" fontId="16" fillId="16" borderId="18" xfId="1" applyNumberFormat="1" applyFont="1" applyFill="1" applyBorder="1" applyAlignment="1">
      <alignment horizontal="center" vertical="center"/>
    </xf>
    <xf numFmtId="0" fontId="16" fillId="16" borderId="20" xfId="1" applyNumberFormat="1" applyFont="1" applyFill="1" applyBorder="1" applyAlignment="1">
      <alignment horizontal="right" vertical="center" wrapText="1"/>
    </xf>
    <xf numFmtId="0" fontId="16" fillId="16" borderId="31" xfId="1" applyNumberFormat="1" applyFont="1" applyFill="1" applyBorder="1" applyAlignment="1">
      <alignment horizontal="center" vertical="center" wrapText="1"/>
    </xf>
    <xf numFmtId="1" fontId="8" fillId="16" borderId="1" xfId="1" applyNumberFormat="1" applyFont="1" applyFill="1" applyBorder="1" applyAlignment="1">
      <alignment horizontal="center" vertical="center"/>
    </xf>
    <xf numFmtId="0" fontId="16" fillId="15" borderId="18" xfId="1" applyFont="1" applyFill="1" applyBorder="1" applyAlignment="1">
      <alignment horizontal="left"/>
    </xf>
    <xf numFmtId="0" fontId="16" fillId="15" borderId="21" xfId="1" applyFont="1" applyFill="1" applyBorder="1"/>
    <xf numFmtId="2" fontId="16" fillId="2" borderId="0" xfId="1" applyNumberFormat="1" applyFont="1" applyFill="1" applyBorder="1" applyAlignment="1">
      <alignment horizontal="center" vertical="center"/>
    </xf>
    <xf numFmtId="2" fontId="16" fillId="2" borderId="0" xfId="1" applyNumberFormat="1" applyFont="1" applyFill="1" applyBorder="1" applyAlignment="1">
      <alignment vertical="center"/>
    </xf>
    <xf numFmtId="0" fontId="39" fillId="15" borderId="0" xfId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16" fillId="2" borderId="0" xfId="1" applyNumberFormat="1" applyFont="1" applyFill="1" applyBorder="1" applyAlignment="1">
      <alignment horizontal="left" vertical="center"/>
    </xf>
    <xf numFmtId="2" fontId="16" fillId="0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left" vertical="center"/>
    </xf>
    <xf numFmtId="0" fontId="8" fillId="7" borderId="0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 vertical="center"/>
    </xf>
    <xf numFmtId="1" fontId="16" fillId="2" borderId="0" xfId="1" applyNumberFormat="1" applyFont="1" applyFill="1" applyBorder="1" applyAlignment="1">
      <alignment horizontal="right" vertical="center"/>
    </xf>
    <xf numFmtId="2" fontId="16" fillId="2" borderId="0" xfId="1" applyNumberFormat="1" applyFont="1" applyFill="1" applyBorder="1" applyAlignment="1">
      <alignment horizontal="left" vertical="center"/>
    </xf>
    <xf numFmtId="1" fontId="16" fillId="2" borderId="0" xfId="1" applyNumberFormat="1" applyFont="1" applyFill="1" applyBorder="1" applyAlignment="1">
      <alignment horizontal="left" vertical="center"/>
    </xf>
    <xf numFmtId="0" fontId="40" fillId="2" borderId="0" xfId="1" applyNumberFormat="1" applyFont="1" applyFill="1" applyBorder="1" applyAlignment="1">
      <alignment horizontal="left" vertical="center" wrapText="1"/>
    </xf>
    <xf numFmtId="0" fontId="39" fillId="12" borderId="0" xfId="1" applyNumberFormat="1" applyFont="1" applyFill="1" applyBorder="1" applyAlignment="1">
      <alignment horizontal="center" vertical="center"/>
    </xf>
    <xf numFmtId="1" fontId="16" fillId="2" borderId="0" xfId="1" applyNumberFormat="1" applyFont="1" applyFill="1" applyBorder="1" applyAlignment="1">
      <alignment horizontal="center" vertical="center" wrapText="1"/>
    </xf>
    <xf numFmtId="1" fontId="39" fillId="15" borderId="0" xfId="1" applyNumberFormat="1" applyFont="1" applyFill="1" applyBorder="1" applyAlignment="1">
      <alignment horizontal="center" vertical="center"/>
    </xf>
    <xf numFmtId="2" fontId="16" fillId="23" borderId="0" xfId="1" applyNumberFormat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1" fontId="16" fillId="2" borderId="0" xfId="1" applyNumberFormat="1" applyFont="1" applyFill="1" applyBorder="1" applyAlignment="1">
      <alignment horizontal="right" vertical="center" wrapText="1"/>
    </xf>
    <xf numFmtId="1" fontId="16" fillId="2" borderId="0" xfId="1" applyNumberFormat="1" applyFont="1" applyFill="1" applyBorder="1" applyAlignment="1">
      <alignment horizontal="left" vertical="center" wrapText="1"/>
    </xf>
    <xf numFmtId="49" fontId="16" fillId="2" borderId="0" xfId="1" applyNumberFormat="1" applyFont="1" applyFill="1" applyBorder="1" applyAlignment="1">
      <alignment horizontal="right" vertical="center" wrapText="1"/>
    </xf>
    <xf numFmtId="49" fontId="16" fillId="0" borderId="0" xfId="1" applyNumberFormat="1" applyFont="1" applyFill="1" applyBorder="1" applyAlignment="1">
      <alignment horizontal="left" vertical="center"/>
    </xf>
    <xf numFmtId="49" fontId="16" fillId="0" borderId="0" xfId="1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left" vertical="center"/>
    </xf>
    <xf numFmtId="49" fontId="16" fillId="2" borderId="0" xfId="1" applyNumberFormat="1" applyFont="1" applyFill="1" applyBorder="1" applyAlignment="1">
      <alignment horizontal="center" vertical="center" wrapText="1"/>
    </xf>
    <xf numFmtId="49" fontId="64" fillId="2" borderId="0" xfId="1" applyNumberFormat="1" applyFont="1" applyFill="1" applyBorder="1" applyAlignment="1">
      <alignment vertical="center"/>
    </xf>
    <xf numFmtId="0" fontId="65" fillId="4" borderId="0" xfId="1" applyNumberFormat="1" applyFont="1" applyFill="1" applyBorder="1" applyAlignment="1">
      <alignment horizontal="center" vertical="center"/>
    </xf>
    <xf numFmtId="0" fontId="39" fillId="15" borderId="0" xfId="1" applyFont="1" applyFill="1" applyBorder="1" applyAlignment="1">
      <alignment horizontal="center" vertical="center"/>
    </xf>
    <xf numFmtId="0" fontId="16" fillId="33" borderId="0" xfId="1" applyNumberFormat="1" applyFont="1" applyFill="1" applyBorder="1" applyAlignment="1">
      <alignment horizontal="left" vertical="center" wrapText="1"/>
    </xf>
    <xf numFmtId="0" fontId="8" fillId="2" borderId="0" xfId="1" applyNumberFormat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vertical="center"/>
    </xf>
    <xf numFmtId="1" fontId="8" fillId="2" borderId="0" xfId="1" applyNumberFormat="1" applyFont="1" applyFill="1" applyBorder="1" applyAlignment="1">
      <alignment horizontal="right" vertical="center"/>
    </xf>
    <xf numFmtId="2" fontId="22" fillId="2" borderId="0" xfId="1" applyNumberFormat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vertical="center"/>
    </xf>
    <xf numFmtId="1" fontId="8" fillId="2" borderId="0" xfId="1" applyNumberFormat="1" applyFont="1" applyFill="1" applyBorder="1" applyAlignment="1">
      <alignment horizontal="center" vertical="center"/>
    </xf>
    <xf numFmtId="1" fontId="8" fillId="2" borderId="19" xfId="1" applyNumberFormat="1" applyFont="1" applyFill="1" applyBorder="1" applyAlignment="1">
      <alignment horizontal="center" vertical="center" wrapText="1"/>
    </xf>
    <xf numFmtId="1" fontId="8" fillId="2" borderId="23" xfId="1" applyNumberFormat="1" applyFont="1" applyFill="1" applyBorder="1" applyAlignment="1">
      <alignment horizontal="center" vertical="center" wrapText="1"/>
    </xf>
    <xf numFmtId="0" fontId="16" fillId="2" borderId="0" xfId="1" applyNumberFormat="1" applyFont="1" applyFill="1" applyBorder="1" applyAlignment="1">
      <alignment vertical="center"/>
    </xf>
    <xf numFmtId="0" fontId="16" fillId="15" borderId="0" xfId="1" applyNumberFormat="1" applyFont="1" applyFill="1" applyBorder="1" applyAlignment="1">
      <alignment vertical="center" wrapText="1"/>
    </xf>
    <xf numFmtId="0" fontId="16" fillId="2" borderId="0" xfId="1" applyNumberFormat="1" applyFont="1" applyFill="1" applyBorder="1" applyAlignment="1">
      <alignment horizontal="right" vertical="center" wrapText="1"/>
    </xf>
    <xf numFmtId="0" fontId="16" fillId="0" borderId="0" xfId="1" applyFont="1" applyAlignment="1">
      <alignment vertical="center"/>
    </xf>
    <xf numFmtId="1" fontId="16" fillId="0" borderId="7" xfId="1" applyNumberFormat="1" applyFont="1" applyFill="1" applyBorder="1" applyAlignment="1">
      <alignment horizontal="left" vertical="center"/>
    </xf>
    <xf numFmtId="49" fontId="16" fillId="0" borderId="32" xfId="1" applyNumberFormat="1" applyFont="1" applyFill="1" applyBorder="1" applyAlignment="1">
      <alignment horizontal="center" vertical="center" wrapText="1"/>
    </xf>
    <xf numFmtId="49" fontId="16" fillId="2" borderId="32" xfId="1" applyNumberFormat="1" applyFont="1" applyFill="1" applyBorder="1" applyAlignment="1">
      <alignment horizontal="center" vertical="center" wrapText="1"/>
    </xf>
    <xf numFmtId="0" fontId="16" fillId="0" borderId="20" xfId="1" applyNumberFormat="1" applyFont="1" applyFill="1" applyBorder="1" applyAlignment="1">
      <alignment horizontal="left" vertical="center" wrapText="1"/>
    </xf>
    <xf numFmtId="0" fontId="41" fillId="2" borderId="0" xfId="1" applyFont="1" applyFill="1" applyAlignment="1">
      <alignment horizontal="center" vertical="center"/>
    </xf>
    <xf numFmtId="0" fontId="41" fillId="0" borderId="0" xfId="1" applyFont="1" applyAlignment="1">
      <alignment horizontal="left" vertical="center"/>
    </xf>
    <xf numFmtId="0" fontId="41" fillId="2" borderId="0" xfId="1" applyFont="1" applyFill="1" applyAlignment="1">
      <alignment horizontal="center" vertical="center" wrapText="1"/>
    </xf>
    <xf numFmtId="0" fontId="41" fillId="0" borderId="19" xfId="1" applyFont="1" applyBorder="1" applyAlignment="1">
      <alignment horizontal="left" vertical="center"/>
    </xf>
    <xf numFmtId="0" fontId="41" fillId="0" borderId="23" xfId="1" applyFont="1" applyBorder="1" applyAlignment="1">
      <alignment horizontal="left" vertical="center"/>
    </xf>
    <xf numFmtId="2" fontId="41" fillId="2" borderId="0" xfId="1" applyNumberFormat="1" applyFont="1" applyFill="1" applyAlignment="1">
      <alignment horizontal="right" vertical="center"/>
    </xf>
    <xf numFmtId="2" fontId="41" fillId="2" borderId="0" xfId="1" applyNumberFormat="1" applyFont="1" applyFill="1" applyAlignment="1">
      <alignment vertical="center"/>
    </xf>
    <xf numFmtId="2" fontId="41" fillId="2" borderId="0" xfId="1" applyNumberFormat="1" applyFont="1" applyFill="1" applyAlignment="1">
      <alignment horizontal="left" vertical="center" wrapText="1"/>
    </xf>
    <xf numFmtId="0" fontId="41" fillId="2" borderId="0" xfId="1" applyFont="1" applyFill="1" applyAlignment="1">
      <alignment horizontal="left" vertical="center"/>
    </xf>
    <xf numFmtId="49" fontId="41" fillId="2" borderId="0" xfId="1" applyNumberFormat="1" applyFont="1" applyFill="1" applyAlignment="1">
      <alignment horizontal="center" vertical="center"/>
    </xf>
    <xf numFmtId="0" fontId="41" fillId="0" borderId="0" xfId="1" applyNumberFormat="1" applyFont="1" applyAlignment="1">
      <alignment vertical="center"/>
    </xf>
    <xf numFmtId="0" fontId="41" fillId="0" borderId="0" xfId="1" applyNumberFormat="1" applyFont="1" applyAlignment="1">
      <alignment horizontal="left" vertical="center"/>
    </xf>
    <xf numFmtId="2" fontId="41" fillId="0" borderId="0" xfId="1" applyNumberFormat="1" applyFont="1" applyAlignment="1">
      <alignment horizontal="center" vertical="center"/>
    </xf>
    <xf numFmtId="1" fontId="41" fillId="0" borderId="0" xfId="1" applyNumberFormat="1" applyFont="1" applyAlignment="1">
      <alignment horizontal="right" vertical="center"/>
    </xf>
    <xf numFmtId="49" fontId="41" fillId="2" borderId="0" xfId="1" applyNumberFormat="1" applyFont="1" applyFill="1" applyAlignment="1">
      <alignment horizontal="left" vertical="center"/>
    </xf>
    <xf numFmtId="49" fontId="41" fillId="0" borderId="0" xfId="1" applyNumberFormat="1" applyFont="1" applyAlignment="1">
      <alignment vertical="center"/>
    </xf>
    <xf numFmtId="1" fontId="41" fillId="0" borderId="0" xfId="1" applyNumberFormat="1" applyFont="1" applyAlignment="1">
      <alignment horizontal="center" vertical="center" wrapText="1"/>
    </xf>
    <xf numFmtId="2" fontId="41" fillId="0" borderId="0" xfId="1" applyNumberFormat="1" applyFont="1" applyAlignment="1">
      <alignment vertical="center"/>
    </xf>
    <xf numFmtId="2" fontId="41" fillId="0" borderId="0" xfId="1" applyNumberFormat="1" applyFont="1" applyAlignment="1">
      <alignment horizontal="left" vertical="center"/>
    </xf>
    <xf numFmtId="49" fontId="41" fillId="0" borderId="0" xfId="1" applyNumberFormat="1" applyFont="1" applyAlignment="1">
      <alignment horizontal="right" vertical="center"/>
    </xf>
    <xf numFmtId="0" fontId="41" fillId="2" borderId="0" xfId="1" applyNumberFormat="1" applyFont="1" applyFill="1" applyAlignment="1">
      <alignment horizontal="center" vertical="center" wrapText="1"/>
    </xf>
    <xf numFmtId="0" fontId="41" fillId="0" borderId="0" xfId="1" applyFont="1" applyAlignment="1">
      <alignment vertical="center"/>
    </xf>
    <xf numFmtId="1" fontId="42" fillId="2" borderId="0" xfId="1" applyNumberFormat="1" applyFont="1" applyFill="1" applyAlignment="1">
      <alignment horizontal="center" vertical="center"/>
    </xf>
    <xf numFmtId="1" fontId="41" fillId="2" borderId="0" xfId="1" applyNumberFormat="1" applyFont="1" applyFill="1" applyAlignment="1">
      <alignment vertical="center"/>
    </xf>
    <xf numFmtId="1" fontId="42" fillId="2" borderId="0" xfId="1" applyNumberFormat="1" applyFont="1" applyFill="1" applyAlignment="1">
      <alignment vertical="center"/>
    </xf>
    <xf numFmtId="2" fontId="41" fillId="2" borderId="22" xfId="1" applyNumberFormat="1" applyFont="1" applyFill="1" applyBorder="1" applyAlignment="1">
      <alignment vertical="center"/>
    </xf>
    <xf numFmtId="2" fontId="41" fillId="2" borderId="10" xfId="1" applyNumberFormat="1" applyFont="1" applyFill="1" applyBorder="1" applyAlignment="1">
      <alignment horizontal="right" vertical="center"/>
    </xf>
    <xf numFmtId="2" fontId="42" fillId="0" borderId="0" xfId="1" applyNumberFormat="1" applyFont="1" applyAlignment="1">
      <alignment horizontal="center" vertical="center"/>
    </xf>
    <xf numFmtId="2" fontId="41" fillId="0" borderId="19" xfId="1" applyNumberFormat="1" applyFont="1" applyBorder="1" applyAlignment="1">
      <alignment horizontal="right" vertical="center"/>
    </xf>
    <xf numFmtId="0" fontId="41" fillId="0" borderId="0" xfId="1" applyFont="1" applyAlignment="1">
      <alignment horizontal="center" vertical="center"/>
    </xf>
    <xf numFmtId="0" fontId="41" fillId="0" borderId="0" xfId="1" applyFont="1" applyAlignment="1">
      <alignment vertical="center" wrapText="1"/>
    </xf>
    <xf numFmtId="0" fontId="41" fillId="6" borderId="0" xfId="1" applyFont="1" applyFill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78" fillId="0" borderId="0" xfId="1" applyFont="1" applyFill="1" applyAlignment="1">
      <alignment vertical="center"/>
    </xf>
    <xf numFmtId="0" fontId="76" fillId="0" borderId="0" xfId="1" applyNumberFormat="1" applyFont="1" applyFill="1" applyBorder="1" applyAlignment="1">
      <alignment horizontal="center" vertical="center" wrapText="1"/>
    </xf>
    <xf numFmtId="1" fontId="15" fillId="0" borderId="7" xfId="0" quotePrefix="1" applyNumberFormat="1" applyFont="1" applyFill="1" applyBorder="1" applyAlignment="1">
      <alignment horizontal="center" vertical="center"/>
    </xf>
    <xf numFmtId="49" fontId="15" fillId="35" borderId="1" xfId="0" applyNumberFormat="1" applyFont="1" applyFill="1" applyBorder="1" applyAlignment="1">
      <alignment vertical="center"/>
    </xf>
    <xf numFmtId="0" fontId="15" fillId="15" borderId="9" xfId="0" applyFont="1" applyFill="1" applyBorder="1" applyAlignment="1">
      <alignment wrapText="1"/>
    </xf>
    <xf numFmtId="49" fontId="14" fillId="15" borderId="18" xfId="0" applyNumberFormat="1" applyFont="1" applyFill="1" applyBorder="1" applyAlignment="1">
      <alignment horizontal="center" vertical="center"/>
    </xf>
    <xf numFmtId="0" fontId="15" fillId="15" borderId="5" xfId="0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16" borderId="24" xfId="0" applyNumberFormat="1" applyFont="1" applyFill="1" applyBorder="1" applyAlignment="1">
      <alignment horizontal="right" vertical="center" wrapText="1"/>
    </xf>
    <xf numFmtId="1" fontId="15" fillId="15" borderId="8" xfId="0" applyNumberFormat="1" applyFont="1" applyFill="1" applyBorder="1" applyAlignment="1">
      <alignment horizontal="right" vertical="center"/>
    </xf>
    <xf numFmtId="0" fontId="44" fillId="2" borderId="1" xfId="1" applyFont="1" applyFill="1" applyBorder="1" applyAlignment="1">
      <alignment horizontal="left" vertical="center" wrapText="1"/>
    </xf>
    <xf numFmtId="49" fontId="44" fillId="2" borderId="1" xfId="1" applyNumberFormat="1" applyFont="1" applyFill="1" applyBorder="1" applyAlignment="1">
      <alignment horizontal="center" vertical="center" textRotation="90" wrapText="1"/>
    </xf>
    <xf numFmtId="49" fontId="44" fillId="2" borderId="1" xfId="1" applyNumberFormat="1" applyFont="1" applyFill="1" applyBorder="1" applyAlignment="1">
      <alignment horizontal="center" vertical="center" wrapText="1"/>
    </xf>
    <xf numFmtId="0" fontId="44" fillId="2" borderId="1" xfId="1" applyNumberFormat="1" applyFont="1" applyFill="1" applyBorder="1" applyAlignment="1">
      <alignment horizontal="center" vertical="center" wrapText="1"/>
    </xf>
    <xf numFmtId="0" fontId="44" fillId="15" borderId="1" xfId="1" applyFont="1" applyFill="1" applyBorder="1" applyAlignment="1">
      <alignment horizontal="left" vertical="center" wrapText="1"/>
    </xf>
    <xf numFmtId="0" fontId="44" fillId="2" borderId="1" xfId="1" applyNumberFormat="1" applyFont="1" applyFill="1" applyBorder="1" applyAlignment="1">
      <alignment horizontal="left" vertical="center" wrapText="1"/>
    </xf>
    <xf numFmtId="2" fontId="44" fillId="2" borderId="1" xfId="1" applyNumberFormat="1" applyFont="1" applyFill="1" applyBorder="1" applyAlignment="1">
      <alignment horizontal="right" vertical="center"/>
    </xf>
    <xf numFmtId="2" fontId="44" fillId="2" borderId="1" xfId="1" applyNumberFormat="1" applyFont="1" applyFill="1" applyBorder="1" applyAlignment="1">
      <alignment horizontal="center" vertical="center" wrapText="1"/>
    </xf>
    <xf numFmtId="2" fontId="44" fillId="2" borderId="1" xfId="1" applyNumberFormat="1" applyFont="1" applyFill="1" applyBorder="1" applyAlignment="1">
      <alignment horizontal="center" vertical="center"/>
    </xf>
    <xf numFmtId="0" fontId="44" fillId="2" borderId="1" xfId="1" applyNumberFormat="1" applyFont="1" applyFill="1" applyBorder="1" applyAlignment="1">
      <alignment vertical="center" wrapText="1"/>
    </xf>
    <xf numFmtId="0" fontId="44" fillId="2" borderId="1" xfId="1" applyNumberFormat="1" applyFont="1" applyFill="1" applyBorder="1" applyAlignment="1">
      <alignment horizontal="right" vertical="center" wrapText="1"/>
    </xf>
    <xf numFmtId="49" fontId="44" fillId="15" borderId="1" xfId="1" applyNumberFormat="1" applyFont="1" applyFill="1" applyBorder="1" applyAlignment="1">
      <alignment horizontal="right" vertical="center"/>
    </xf>
    <xf numFmtId="2" fontId="44" fillId="15" borderId="1" xfId="1" applyNumberFormat="1" applyFont="1" applyFill="1" applyBorder="1" applyAlignment="1">
      <alignment horizontal="left" vertical="center"/>
    </xf>
    <xf numFmtId="49" fontId="44" fillId="15" borderId="1" xfId="1" applyNumberFormat="1" applyFont="1" applyFill="1" applyBorder="1" applyAlignment="1">
      <alignment horizontal="center" vertical="center"/>
    </xf>
    <xf numFmtId="49" fontId="44" fillId="15" borderId="1" xfId="1" applyNumberFormat="1" applyFont="1" applyFill="1" applyBorder="1" applyAlignment="1">
      <alignment horizontal="left" vertical="center"/>
    </xf>
    <xf numFmtId="0" fontId="44" fillId="15" borderId="1" xfId="1" applyNumberFormat="1" applyFont="1" applyFill="1" applyBorder="1" applyAlignment="1">
      <alignment horizontal="left" vertical="center"/>
    </xf>
    <xf numFmtId="0" fontId="44" fillId="15" borderId="1" xfId="1" applyNumberFormat="1" applyFont="1" applyFill="1" applyBorder="1" applyAlignment="1">
      <alignment horizontal="center" vertical="center"/>
    </xf>
    <xf numFmtId="0" fontId="44" fillId="15" borderId="1" xfId="1" applyNumberFormat="1" applyFont="1" applyFill="1" applyBorder="1" applyAlignment="1">
      <alignment horizontal="left" vertical="center" wrapText="1"/>
    </xf>
    <xf numFmtId="0" fontId="44" fillId="2" borderId="1" xfId="1" applyFont="1" applyFill="1" applyBorder="1" applyAlignment="1">
      <alignment vertical="center"/>
    </xf>
    <xf numFmtId="0" fontId="44" fillId="2" borderId="1" xfId="1" applyFont="1" applyFill="1" applyBorder="1" applyAlignment="1">
      <alignment horizontal="left" vertical="center"/>
    </xf>
    <xf numFmtId="49" fontId="44" fillId="0" borderId="1" xfId="1" applyNumberFormat="1" applyFont="1" applyBorder="1" applyAlignment="1">
      <alignment horizontal="left" vertical="center"/>
    </xf>
    <xf numFmtId="49" fontId="44" fillId="0" borderId="1" xfId="1" applyNumberFormat="1" applyFont="1" applyBorder="1" applyAlignment="1">
      <alignment horizontal="right" vertical="center"/>
    </xf>
    <xf numFmtId="2" fontId="44" fillId="0" borderId="1" xfId="1" applyNumberFormat="1" applyFont="1" applyBorder="1" applyAlignment="1">
      <alignment horizontal="left" vertical="center"/>
    </xf>
    <xf numFmtId="49" fontId="44" fillId="2" borderId="1" xfId="1" applyNumberFormat="1" applyFont="1" applyFill="1" applyBorder="1" applyAlignment="1">
      <alignment horizontal="center" vertical="center"/>
    </xf>
    <xf numFmtId="0" fontId="44" fillId="0" borderId="1" xfId="1" applyNumberFormat="1" applyFont="1" applyBorder="1" applyAlignment="1">
      <alignment horizontal="left" vertical="center"/>
    </xf>
    <xf numFmtId="2" fontId="44" fillId="2" borderId="1" xfId="1" applyNumberFormat="1" applyFont="1" applyFill="1" applyBorder="1" applyAlignment="1">
      <alignment horizontal="left" vertical="center" wrapText="1"/>
    </xf>
    <xf numFmtId="2" fontId="15" fillId="3" borderId="1" xfId="0" applyNumberFormat="1" applyFont="1" applyFill="1" applyBorder="1" applyAlignment="1">
      <alignment horizontal="left" vertical="center"/>
    </xf>
    <xf numFmtId="0" fontId="26" fillId="0" borderId="8" xfId="0" applyFont="1" applyFill="1" applyBorder="1" applyAlignment="1">
      <alignment vertical="center"/>
    </xf>
    <xf numFmtId="0" fontId="15" fillId="20" borderId="1" xfId="0" applyNumberFormat="1" applyFont="1" applyFill="1" applyBorder="1" applyAlignment="1">
      <alignment vertical="center" wrapText="1"/>
    </xf>
    <xf numFmtId="1" fontId="15" fillId="23" borderId="1" xfId="0" applyNumberFormat="1" applyFont="1" applyFill="1" applyBorder="1" applyAlignment="1">
      <alignment horizontal="left" vertical="center"/>
    </xf>
    <xf numFmtId="1" fontId="15" fillId="2" borderId="31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1" fontId="15" fillId="0" borderId="0" xfId="0" applyNumberFormat="1" applyFont="1" applyFill="1" applyBorder="1" applyAlignment="1">
      <alignment horizontal="right" vertical="center"/>
    </xf>
    <xf numFmtId="1" fontId="15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right" vertical="center" wrapText="1"/>
    </xf>
    <xf numFmtId="1" fontId="15" fillId="0" borderId="0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right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14" fillId="0" borderId="19" xfId="0" applyNumberFormat="1" applyFont="1" applyFill="1" applyBorder="1" applyAlignment="1">
      <alignment horizontal="center" vertical="center" wrapText="1"/>
    </xf>
    <xf numFmtId="1" fontId="14" fillId="0" borderId="23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horizontal="right" vertical="center" wrapText="1"/>
    </xf>
    <xf numFmtId="0" fontId="11" fillId="0" borderId="5" xfId="0" applyNumberFormat="1" applyFont="1" applyBorder="1" applyAlignment="1">
      <alignment vertical="center"/>
    </xf>
    <xf numFmtId="2" fontId="13" fillId="2" borderId="0" xfId="0" applyNumberFormat="1" applyFont="1" applyFill="1" applyBorder="1" applyAlignment="1">
      <alignment vertical="center"/>
    </xf>
    <xf numFmtId="2" fontId="15" fillId="2" borderId="20" xfId="0" quotePrefix="1" applyNumberFormat="1" applyFont="1" applyFill="1" applyBorder="1" applyAlignment="1">
      <alignment horizontal="center" vertical="center"/>
    </xf>
    <xf numFmtId="0" fontId="59" fillId="0" borderId="0" xfId="1" applyFont="1" applyAlignment="1">
      <alignment horizontal="center" vertical="center"/>
    </xf>
    <xf numFmtId="0" fontId="47" fillId="15" borderId="0" xfId="1" applyNumberFormat="1" applyFont="1" applyFill="1" applyBorder="1" applyAlignment="1">
      <alignment horizontal="center" vertical="center"/>
    </xf>
    <xf numFmtId="49" fontId="42" fillId="15" borderId="1" xfId="1" applyNumberFormat="1" applyFont="1" applyFill="1" applyBorder="1" applyAlignment="1">
      <alignment horizontal="center" vertical="center" textRotation="90"/>
    </xf>
    <xf numFmtId="49" fontId="42" fillId="15" borderId="1" xfId="1" applyNumberFormat="1" applyFont="1" applyFill="1" applyBorder="1" applyAlignment="1">
      <alignment horizontal="center" vertical="center"/>
    </xf>
    <xf numFmtId="0" fontId="42" fillId="15" borderId="1" xfId="1" applyNumberFormat="1" applyFont="1" applyFill="1" applyBorder="1" applyAlignment="1">
      <alignment horizontal="center" vertical="center"/>
    </xf>
    <xf numFmtId="0" fontId="42" fillId="15" borderId="7" xfId="1" applyFont="1" applyFill="1" applyBorder="1" applyAlignment="1">
      <alignment horizontal="left" vertical="center"/>
    </xf>
    <xf numFmtId="0" fontId="42" fillId="15" borderId="13" xfId="1" applyNumberFormat="1" applyFont="1" applyFill="1" applyBorder="1" applyAlignment="1">
      <alignment horizontal="left" vertical="center"/>
    </xf>
    <xf numFmtId="2" fontId="42" fillId="15" borderId="1" xfId="1" applyNumberFormat="1" applyFont="1" applyFill="1" applyBorder="1" applyAlignment="1">
      <alignment horizontal="right" vertical="center"/>
    </xf>
    <xf numFmtId="2" fontId="42" fillId="15" borderId="7" xfId="1" applyNumberFormat="1" applyFont="1" applyFill="1" applyBorder="1" applyAlignment="1">
      <alignment horizontal="right" vertical="center"/>
    </xf>
    <xf numFmtId="2" fontId="80" fillId="2" borderId="9" xfId="1" applyNumberFormat="1" applyFont="1" applyFill="1" applyBorder="1" applyAlignment="1">
      <alignment horizontal="center" vertical="center"/>
    </xf>
    <xf numFmtId="0" fontId="80" fillId="2" borderId="14" xfId="1" applyNumberFormat="1" applyFont="1" applyFill="1" applyBorder="1" applyAlignment="1">
      <alignment horizontal="left" vertical="center" wrapText="1"/>
    </xf>
    <xf numFmtId="2" fontId="80" fillId="2" borderId="13" xfId="1" applyNumberFormat="1" applyFont="1" applyFill="1" applyBorder="1" applyAlignment="1">
      <alignment horizontal="center" vertical="center"/>
    </xf>
    <xf numFmtId="2" fontId="80" fillId="2" borderId="7" xfId="1" applyNumberFormat="1" applyFont="1" applyFill="1" applyBorder="1" applyAlignment="1">
      <alignment horizontal="center" vertical="center"/>
    </xf>
    <xf numFmtId="0" fontId="80" fillId="2" borderId="7" xfId="1" applyNumberFormat="1" applyFont="1" applyFill="1" applyBorder="1" applyAlignment="1">
      <alignment vertical="center" wrapText="1"/>
    </xf>
    <xf numFmtId="0" fontId="80" fillId="2" borderId="8" xfId="1" applyNumberFormat="1" applyFont="1" applyFill="1" applyBorder="1" applyAlignment="1">
      <alignment horizontal="left" vertical="center" wrapText="1"/>
    </xf>
    <xf numFmtId="0" fontId="80" fillId="2" borderId="9" xfId="1" applyNumberFormat="1" applyFont="1" applyFill="1" applyBorder="1" applyAlignment="1">
      <alignment horizontal="left" vertical="center" wrapText="1"/>
    </xf>
    <xf numFmtId="2" fontId="80" fillId="2" borderId="1" xfId="1" applyNumberFormat="1" applyFont="1" applyFill="1" applyBorder="1" applyAlignment="1">
      <alignment horizontal="center" vertical="center" wrapText="1"/>
    </xf>
    <xf numFmtId="0" fontId="80" fillId="2" borderId="7" xfId="1" applyNumberFormat="1" applyFont="1" applyFill="1" applyBorder="1" applyAlignment="1">
      <alignment horizontal="right" vertical="center" wrapText="1"/>
    </xf>
    <xf numFmtId="49" fontId="80" fillId="15" borderId="7" xfId="1" applyNumberFormat="1" applyFont="1" applyFill="1" applyBorder="1" applyAlignment="1">
      <alignment horizontal="right" vertical="center"/>
    </xf>
    <xf numFmtId="2" fontId="80" fillId="15" borderId="8" xfId="1" applyNumberFormat="1" applyFont="1" applyFill="1" applyBorder="1" applyAlignment="1">
      <alignment horizontal="left" vertical="center"/>
    </xf>
    <xf numFmtId="49" fontId="80" fillId="15" borderId="8" xfId="1" applyNumberFormat="1" applyFont="1" applyFill="1" applyBorder="1" applyAlignment="1">
      <alignment horizontal="center" vertical="center"/>
    </xf>
    <xf numFmtId="49" fontId="80" fillId="15" borderId="8" xfId="1" applyNumberFormat="1" applyFont="1" applyFill="1" applyBorder="1" applyAlignment="1">
      <alignment horizontal="left" vertical="center"/>
    </xf>
    <xf numFmtId="0" fontId="80" fillId="15" borderId="9" xfId="1" applyNumberFormat="1" applyFont="1" applyFill="1" applyBorder="1" applyAlignment="1">
      <alignment horizontal="left" vertical="center"/>
    </xf>
    <xf numFmtId="0" fontId="80" fillId="15" borderId="7" xfId="1" applyNumberFormat="1" applyFont="1" applyFill="1" applyBorder="1" applyAlignment="1">
      <alignment horizontal="center" vertical="center"/>
    </xf>
    <xf numFmtId="0" fontId="80" fillId="15" borderId="9" xfId="1" applyNumberFormat="1" applyFont="1" applyFill="1" applyBorder="1" applyAlignment="1">
      <alignment horizontal="left" vertical="center" wrapText="1"/>
    </xf>
    <xf numFmtId="0" fontId="80" fillId="2" borderId="7" xfId="1" applyFont="1" applyFill="1" applyBorder="1" applyAlignment="1">
      <alignment vertical="center"/>
    </xf>
    <xf numFmtId="0" fontId="80" fillId="2" borderId="8" xfId="1" applyFont="1" applyFill="1" applyBorder="1" applyAlignment="1">
      <alignment horizontal="left" vertical="center"/>
    </xf>
    <xf numFmtId="49" fontId="80" fillId="0" borderId="9" xfId="1" applyNumberFormat="1" applyFont="1" applyBorder="1" applyAlignment="1">
      <alignment horizontal="left" vertical="center"/>
    </xf>
    <xf numFmtId="49" fontId="80" fillId="0" borderId="7" xfId="1" applyNumberFormat="1" applyFont="1" applyBorder="1" applyAlignment="1">
      <alignment horizontal="right" vertical="center"/>
    </xf>
    <xf numFmtId="2" fontId="80" fillId="0" borderId="8" xfId="1" applyNumberFormat="1" applyFont="1" applyBorder="1" applyAlignment="1">
      <alignment horizontal="left" vertical="center"/>
    </xf>
    <xf numFmtId="49" fontId="80" fillId="2" borderId="7" xfId="1" applyNumberFormat="1" applyFont="1" applyFill="1" applyBorder="1" applyAlignment="1">
      <alignment horizontal="center" vertical="center"/>
    </xf>
    <xf numFmtId="49" fontId="80" fillId="0" borderId="8" xfId="1" applyNumberFormat="1" applyFont="1" applyBorder="1" applyAlignment="1">
      <alignment horizontal="left" vertical="center"/>
    </xf>
    <xf numFmtId="0" fontId="80" fillId="0" borderId="9" xfId="1" applyNumberFormat="1" applyFont="1" applyBorder="1" applyAlignment="1">
      <alignment horizontal="left" vertical="center"/>
    </xf>
    <xf numFmtId="1" fontId="47" fillId="15" borderId="1" xfId="1" applyNumberFormat="1" applyFont="1" applyFill="1" applyBorder="1" applyAlignment="1">
      <alignment horizontal="center" vertical="center" wrapText="1"/>
    </xf>
    <xf numFmtId="0" fontId="47" fillId="15" borderId="8" xfId="1" applyNumberFormat="1" applyFont="1" applyFill="1" applyBorder="1" applyAlignment="1">
      <alignment horizontal="center" vertical="center"/>
    </xf>
    <xf numFmtId="2" fontId="47" fillId="15" borderId="1" xfId="1" applyNumberFormat="1" applyFont="1" applyFill="1" applyBorder="1" applyAlignment="1">
      <alignment horizontal="left" vertical="center"/>
    </xf>
    <xf numFmtId="0" fontId="47" fillId="15" borderId="1" xfId="1" applyNumberFormat="1" applyFont="1" applyFill="1" applyBorder="1" applyAlignment="1">
      <alignment horizontal="center" vertical="center"/>
    </xf>
    <xf numFmtId="1" fontId="47" fillId="15" borderId="7" xfId="1" applyNumberFormat="1" applyFont="1" applyFill="1" applyBorder="1" applyAlignment="1">
      <alignment horizontal="center" vertical="center"/>
    </xf>
    <xf numFmtId="1" fontId="47" fillId="15" borderId="1" xfId="1" applyNumberFormat="1" applyFont="1" applyFill="1" applyBorder="1" applyAlignment="1">
      <alignment horizontal="center" vertical="center"/>
    </xf>
    <xf numFmtId="0" fontId="47" fillId="15" borderId="1" xfId="1" applyFont="1" applyFill="1" applyBorder="1" applyAlignment="1">
      <alignment horizontal="center" vertical="center"/>
    </xf>
    <xf numFmtId="2" fontId="47" fillId="15" borderId="1" xfId="1" applyNumberFormat="1" applyFont="1" applyFill="1" applyBorder="1" applyAlignment="1">
      <alignment horizontal="center" vertical="center"/>
    </xf>
    <xf numFmtId="1" fontId="47" fillId="15" borderId="33" xfId="1" applyNumberFormat="1" applyFont="1" applyFill="1" applyBorder="1" applyAlignment="1">
      <alignment horizontal="center" vertical="center"/>
    </xf>
    <xf numFmtId="2" fontId="47" fillId="15" borderId="8" xfId="1" applyNumberFormat="1" applyFont="1" applyFill="1" applyBorder="1" applyAlignment="1">
      <alignment horizontal="center" vertical="center"/>
    </xf>
    <xf numFmtId="0" fontId="47" fillId="15" borderId="9" xfId="1" applyFont="1" applyFill="1" applyBorder="1" applyAlignment="1">
      <alignment vertical="center"/>
    </xf>
    <xf numFmtId="0" fontId="47" fillId="15" borderId="1" xfId="1" applyFont="1" applyFill="1" applyBorder="1" applyAlignment="1">
      <alignment vertical="center"/>
    </xf>
    <xf numFmtId="1" fontId="47" fillId="15" borderId="15" xfId="1" applyNumberFormat="1" applyFont="1" applyFill="1" applyBorder="1" applyAlignment="1">
      <alignment horizontal="center" vertical="center"/>
    </xf>
    <xf numFmtId="1" fontId="47" fillId="15" borderId="9" xfId="1" applyNumberFormat="1" applyFont="1" applyFill="1" applyBorder="1" applyAlignment="1">
      <alignment horizontal="center" vertical="center"/>
    </xf>
    <xf numFmtId="0" fontId="47" fillId="15" borderId="1" xfId="1" applyNumberFormat="1" applyFont="1" applyFill="1" applyBorder="1" applyAlignment="1">
      <alignment horizontal="left" vertical="center"/>
    </xf>
    <xf numFmtId="49" fontId="47" fillId="15" borderId="0" xfId="1" applyNumberFormat="1" applyFont="1" applyFill="1" applyBorder="1" applyAlignment="1">
      <alignment vertical="center"/>
    </xf>
    <xf numFmtId="0" fontId="47" fillId="15" borderId="0" xfId="1" applyNumberFormat="1" applyFont="1" applyFill="1" applyBorder="1" applyAlignment="1">
      <alignment vertical="center"/>
    </xf>
    <xf numFmtId="0" fontId="47" fillId="15" borderId="0" xfId="1" applyNumberFormat="1" applyFont="1" applyFill="1" applyBorder="1" applyAlignment="1">
      <alignment horizontal="left" vertical="center"/>
    </xf>
    <xf numFmtId="0" fontId="47" fillId="15" borderId="0" xfId="1" applyFont="1" applyFill="1" applyAlignment="1">
      <alignment vertical="center"/>
    </xf>
    <xf numFmtId="49" fontId="47" fillId="15" borderId="0" xfId="1" applyNumberFormat="1" applyFont="1" applyFill="1" applyBorder="1" applyAlignment="1">
      <alignment horizontal="left" vertical="center"/>
    </xf>
    <xf numFmtId="0" fontId="47" fillId="15" borderId="0" xfId="1" applyNumberFormat="1" applyFont="1" applyFill="1" applyAlignment="1">
      <alignment horizontal="center" vertical="center"/>
    </xf>
    <xf numFmtId="2" fontId="47" fillId="15" borderId="0" xfId="1" applyNumberFormat="1" applyFont="1" applyFill="1" applyBorder="1" applyAlignment="1">
      <alignment horizontal="left" vertical="center"/>
    </xf>
    <xf numFmtId="1" fontId="47" fillId="15" borderId="0" xfId="1" applyNumberFormat="1" applyFont="1" applyFill="1" applyBorder="1" applyAlignment="1">
      <alignment horizontal="center" vertical="center"/>
    </xf>
    <xf numFmtId="0" fontId="47" fillId="15" borderId="0" xfId="1" applyFont="1" applyFill="1" applyBorder="1" applyAlignment="1">
      <alignment horizontal="center" vertical="center"/>
    </xf>
    <xf numFmtId="2" fontId="47" fillId="15" borderId="0" xfId="1" applyNumberFormat="1" applyFont="1" applyFill="1" applyBorder="1" applyAlignment="1">
      <alignment horizontal="center" vertical="center"/>
    </xf>
    <xf numFmtId="1" fontId="47" fillId="15" borderId="0" xfId="1" applyNumberFormat="1" applyFont="1" applyFill="1" applyBorder="1" applyAlignment="1">
      <alignment horizontal="right" vertical="center"/>
    </xf>
    <xf numFmtId="0" fontId="47" fillId="15" borderId="0" xfId="1" applyFont="1" applyFill="1" applyBorder="1" applyAlignment="1">
      <alignment vertical="center"/>
    </xf>
    <xf numFmtId="0" fontId="15" fillId="23" borderId="1" xfId="0" applyNumberFormat="1" applyFont="1" applyFill="1" applyBorder="1" applyAlignment="1">
      <alignment vertical="center" wrapText="1"/>
    </xf>
    <xf numFmtId="2" fontId="15" fillId="0" borderId="0" xfId="0" applyNumberFormat="1" applyFont="1" applyFill="1" applyBorder="1" applyAlignment="1">
      <alignment vertical="center"/>
    </xf>
    <xf numFmtId="49" fontId="15" fillId="23" borderId="1" xfId="0" applyNumberFormat="1" applyFont="1" applyFill="1" applyBorder="1" applyAlignment="1">
      <alignment horizontal="center" vertical="center"/>
    </xf>
    <xf numFmtId="0" fontId="41" fillId="15" borderId="14" xfId="1" applyFont="1" applyFill="1" applyBorder="1" applyAlignment="1">
      <alignment horizontal="center" vertical="center"/>
    </xf>
    <xf numFmtId="2" fontId="15" fillId="3" borderId="7" xfId="0" applyNumberFormat="1" applyFont="1" applyFill="1" applyBorder="1" applyAlignment="1">
      <alignment horizontal="left" vertical="center"/>
    </xf>
    <xf numFmtId="0" fontId="15" fillId="40" borderId="8" xfId="0" applyFont="1" applyFill="1" applyBorder="1" applyAlignment="1">
      <alignment vertical="center"/>
    </xf>
    <xf numFmtId="0" fontId="41" fillId="0" borderId="0" xfId="1" applyFont="1" applyBorder="1" applyAlignment="1">
      <alignment horizontal="right" vertical="center"/>
    </xf>
    <xf numFmtId="1" fontId="15" fillId="0" borderId="8" xfId="0" applyNumberFormat="1" applyFont="1" applyFill="1" applyBorder="1" applyAlignment="1">
      <alignment horizontal="right" vertical="center"/>
    </xf>
    <xf numFmtId="0" fontId="15" fillId="0" borderId="8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1" fontId="15" fillId="23" borderId="8" xfId="0" applyNumberFormat="1" applyFont="1" applyFill="1" applyBorder="1" applyAlignment="1">
      <alignment horizontal="center" vertical="center"/>
    </xf>
    <xf numFmtId="49" fontId="41" fillId="0" borderId="8" xfId="1" applyNumberFormat="1" applyFont="1" applyFill="1" applyBorder="1" applyAlignment="1">
      <alignment horizontal="right" vertical="center"/>
    </xf>
    <xf numFmtId="49" fontId="19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23" borderId="7" xfId="0" applyNumberFormat="1" applyFont="1" applyFill="1" applyBorder="1" applyAlignment="1">
      <alignment horizontal="right" vertical="center"/>
    </xf>
    <xf numFmtId="0" fontId="15" fillId="23" borderId="8" xfId="0" applyNumberFormat="1" applyFont="1" applyFill="1" applyBorder="1" applyAlignment="1">
      <alignment horizontal="right" vertical="center"/>
    </xf>
    <xf numFmtId="1" fontId="15" fillId="16" borderId="8" xfId="0" applyNumberFormat="1" applyFont="1" applyFill="1" applyBorder="1" applyAlignment="1">
      <alignment horizontal="right" vertical="center"/>
    </xf>
    <xf numFmtId="1" fontId="41" fillId="15" borderId="20" xfId="1" applyNumberFormat="1" applyFont="1" applyFill="1" applyBorder="1" applyAlignment="1">
      <alignment horizontal="right" vertical="center"/>
    </xf>
    <xf numFmtId="0" fontId="55" fillId="0" borderId="0" xfId="1" applyFont="1" applyAlignment="1">
      <alignment horizontal="center"/>
    </xf>
    <xf numFmtId="0" fontId="41" fillId="0" borderId="0" xfId="1" applyFont="1" applyAlignment="1">
      <alignment horizontal="center"/>
    </xf>
    <xf numFmtId="0" fontId="42" fillId="0" borderId="0" xfId="1" applyFont="1" applyAlignment="1">
      <alignment horizontal="center"/>
    </xf>
    <xf numFmtId="0" fontId="42" fillId="0" borderId="0" xfId="1" applyFont="1" applyBorder="1" applyAlignment="1">
      <alignment horizontal="center" wrapText="1"/>
    </xf>
    <xf numFmtId="49" fontId="79" fillId="2" borderId="0" xfId="1" applyNumberFormat="1" applyFont="1" applyFill="1" applyBorder="1" applyAlignment="1">
      <alignment horizontal="center" vertical="center" wrapText="1"/>
    </xf>
    <xf numFmtId="0" fontId="46" fillId="0" borderId="1" xfId="1" applyFont="1" applyBorder="1" applyAlignment="1">
      <alignment horizontal="center" vertical="center" wrapText="1"/>
    </xf>
    <xf numFmtId="0" fontId="69" fillId="37" borderId="1" xfId="1" applyFont="1" applyFill="1" applyBorder="1" applyAlignment="1">
      <alignment horizontal="center" vertical="center"/>
    </xf>
    <xf numFmtId="0" fontId="42" fillId="0" borderId="17" xfId="1" applyNumberFormat="1" applyFont="1" applyBorder="1" applyAlignment="1">
      <alignment horizontal="center" vertical="top" wrapText="1"/>
    </xf>
    <xf numFmtId="0" fontId="42" fillId="0" borderId="0" xfId="1" applyNumberFormat="1" applyFont="1" applyBorder="1" applyAlignment="1">
      <alignment horizontal="center" vertical="top" wrapText="1"/>
    </xf>
    <xf numFmtId="0" fontId="72" fillId="0" borderId="1" xfId="1" applyFont="1" applyBorder="1" applyAlignment="1">
      <alignment horizontal="center" vertical="center" wrapText="1"/>
    </xf>
    <xf numFmtId="0" fontId="42" fillId="0" borderId="0" xfId="1" applyFont="1" applyAlignment="1">
      <alignment horizontal="center" wrapText="1"/>
    </xf>
    <xf numFmtId="0" fontId="72" fillId="2" borderId="0" xfId="1" applyFont="1" applyFill="1" applyBorder="1" applyAlignment="1">
      <alignment horizontal="right" wrapText="1"/>
    </xf>
    <xf numFmtId="0" fontId="72" fillId="2" borderId="0" xfId="1" applyFont="1" applyFill="1" applyBorder="1" applyAlignment="1">
      <alignment horizontal="left" wrapText="1"/>
    </xf>
    <xf numFmtId="0" fontId="72" fillId="0" borderId="16" xfId="1" applyFont="1" applyBorder="1" applyAlignment="1">
      <alignment horizontal="center" vertical="center" wrapText="1"/>
    </xf>
    <xf numFmtId="0" fontId="72" fillId="0" borderId="26" xfId="1" applyFont="1" applyBorder="1" applyAlignment="1">
      <alignment horizontal="center" vertical="center" wrapText="1"/>
    </xf>
    <xf numFmtId="0" fontId="72" fillId="0" borderId="2" xfId="1" applyFont="1" applyBorder="1" applyAlignment="1">
      <alignment horizontal="center" vertical="center" wrapText="1"/>
    </xf>
    <xf numFmtId="0" fontId="71" fillId="0" borderId="7" xfId="1" applyFont="1" applyBorder="1" applyAlignment="1">
      <alignment horizontal="center" vertical="center" wrapText="1"/>
    </xf>
    <xf numFmtId="0" fontId="71" fillId="0" borderId="8" xfId="1" applyFont="1" applyBorder="1" applyAlignment="1">
      <alignment horizontal="center" vertical="center" wrapText="1"/>
    </xf>
    <xf numFmtId="0" fontId="71" fillId="0" borderId="1" xfId="1" applyFont="1" applyBorder="1" applyAlignment="1">
      <alignment horizontal="center" vertical="center" wrapText="1"/>
    </xf>
    <xf numFmtId="0" fontId="71" fillId="0" borderId="6" xfId="1" applyFont="1" applyBorder="1" applyAlignment="1">
      <alignment horizontal="center" vertical="center" wrapText="1"/>
    </xf>
    <xf numFmtId="0" fontId="71" fillId="0" borderId="17" xfId="1" applyFont="1" applyBorder="1" applyAlignment="1">
      <alignment horizontal="center" vertical="center" wrapText="1"/>
    </xf>
    <xf numFmtId="0" fontId="71" fillId="0" borderId="11" xfId="1" applyFont="1" applyBorder="1" applyAlignment="1">
      <alignment horizontal="center" vertical="center" wrapText="1"/>
    </xf>
    <xf numFmtId="0" fontId="71" fillId="0" borderId="3" xfId="1" applyFont="1" applyBorder="1" applyAlignment="1">
      <alignment horizontal="center" vertical="center" wrapText="1"/>
    </xf>
    <xf numFmtId="0" fontId="71" fillId="0" borderId="4" xfId="1" applyFont="1" applyBorder="1" applyAlignment="1">
      <alignment horizontal="center" vertical="center" wrapText="1"/>
    </xf>
    <xf numFmtId="0" fontId="71" fillId="0" borderId="5" xfId="1" applyFont="1" applyBorder="1" applyAlignment="1">
      <alignment horizontal="center" vertical="center" wrapText="1"/>
    </xf>
    <xf numFmtId="0" fontId="72" fillId="0" borderId="6" xfId="1" applyFont="1" applyBorder="1" applyAlignment="1">
      <alignment horizontal="center" vertical="center" wrapText="1"/>
    </xf>
    <xf numFmtId="0" fontId="72" fillId="0" borderId="11" xfId="1" applyFont="1" applyBorder="1" applyAlignment="1">
      <alignment horizontal="center" vertical="center" wrapText="1"/>
    </xf>
    <xf numFmtId="0" fontId="72" fillId="0" borderId="3" xfId="1" applyFont="1" applyBorder="1" applyAlignment="1">
      <alignment horizontal="center" vertical="center" wrapText="1"/>
    </xf>
    <xf numFmtId="0" fontId="72" fillId="0" borderId="5" xfId="1" applyFont="1" applyBorder="1" applyAlignment="1">
      <alignment horizontal="center" vertical="center" wrapText="1"/>
    </xf>
    <xf numFmtId="0" fontId="72" fillId="0" borderId="9" xfId="1" applyFont="1" applyBorder="1" applyAlignment="1">
      <alignment horizontal="center" vertical="center" wrapText="1"/>
    </xf>
    <xf numFmtId="0" fontId="77" fillId="0" borderId="17" xfId="1" applyNumberFormat="1" applyFont="1" applyFill="1" applyBorder="1" applyAlignment="1">
      <alignment horizontal="center" vertical="center" wrapText="1"/>
    </xf>
    <xf numFmtId="0" fontId="77" fillId="0" borderId="0" xfId="1" applyNumberFormat="1" applyFont="1" applyFill="1" applyBorder="1" applyAlignment="1">
      <alignment horizontal="center" wrapText="1"/>
    </xf>
    <xf numFmtId="0" fontId="47" fillId="16" borderId="16" xfId="1" applyFont="1" applyFill="1" applyBorder="1" applyAlignment="1">
      <alignment horizontal="center" vertical="center" wrapText="1"/>
    </xf>
    <xf numFmtId="0" fontId="47" fillId="16" borderId="26" xfId="1" applyFont="1" applyFill="1" applyBorder="1" applyAlignment="1">
      <alignment horizontal="center" vertical="center" wrapText="1"/>
    </xf>
    <xf numFmtId="0" fontId="47" fillId="16" borderId="2" xfId="1" applyFont="1" applyFill="1" applyBorder="1" applyAlignment="1">
      <alignment horizontal="center" vertical="center" wrapText="1"/>
    </xf>
    <xf numFmtId="1" fontId="47" fillId="2" borderId="16" xfId="1" applyNumberFormat="1" applyFont="1" applyFill="1" applyBorder="1" applyAlignment="1">
      <alignment horizontal="center" vertical="center" wrapText="1"/>
    </xf>
    <xf numFmtId="1" fontId="47" fillId="2" borderId="26" xfId="1" applyNumberFormat="1" applyFont="1" applyFill="1" applyBorder="1" applyAlignment="1">
      <alignment horizontal="center" vertical="center" wrapText="1"/>
    </xf>
    <xf numFmtId="1" fontId="47" fillId="2" borderId="2" xfId="1" applyNumberFormat="1" applyFont="1" applyFill="1" applyBorder="1" applyAlignment="1">
      <alignment horizontal="center" vertical="center" wrapText="1"/>
    </xf>
    <xf numFmtId="0" fontId="47" fillId="0" borderId="16" xfId="1" applyFont="1" applyBorder="1" applyAlignment="1">
      <alignment horizontal="center" vertical="center" wrapText="1"/>
    </xf>
    <xf numFmtId="0" fontId="47" fillId="0" borderId="26" xfId="1" applyFont="1" applyBorder="1" applyAlignment="1">
      <alignment horizontal="center" vertical="center" wrapText="1"/>
    </xf>
    <xf numFmtId="0" fontId="47" fillId="0" borderId="2" xfId="1" applyFont="1" applyBorder="1" applyAlignment="1">
      <alignment horizontal="center" vertical="center" wrapText="1"/>
    </xf>
    <xf numFmtId="0" fontId="47" fillId="0" borderId="16" xfId="1" applyFont="1" applyBorder="1" applyAlignment="1">
      <alignment horizontal="center" vertical="center" textRotation="90" wrapText="1"/>
    </xf>
    <xf numFmtId="0" fontId="47" fillId="0" borderId="26" xfId="1" applyFont="1" applyBorder="1" applyAlignment="1">
      <alignment horizontal="center" vertical="center" textRotation="90" wrapText="1"/>
    </xf>
    <xf numFmtId="0" fontId="47" fillId="0" borderId="2" xfId="1" applyFont="1" applyBorder="1" applyAlignment="1">
      <alignment horizontal="center" vertical="center" textRotation="90" wrapText="1"/>
    </xf>
    <xf numFmtId="49" fontId="47" fillId="2" borderId="16" xfId="1" applyNumberFormat="1" applyFont="1" applyFill="1" applyBorder="1" applyAlignment="1">
      <alignment horizontal="center" vertical="center" wrapText="1"/>
    </xf>
    <xf numFmtId="49" fontId="47" fillId="2" borderId="26" xfId="1" applyNumberFormat="1" applyFont="1" applyFill="1" applyBorder="1" applyAlignment="1">
      <alignment horizontal="center" vertical="center" wrapText="1"/>
    </xf>
    <xf numFmtId="49" fontId="47" fillId="2" borderId="2" xfId="1" applyNumberFormat="1" applyFont="1" applyFill="1" applyBorder="1" applyAlignment="1">
      <alignment horizontal="center" vertical="center" wrapText="1"/>
    </xf>
    <xf numFmtId="0" fontId="47" fillId="0" borderId="17" xfId="1" applyFont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center" wrapText="1"/>
    </xf>
    <xf numFmtId="0" fontId="47" fillId="0" borderId="0" xfId="1" applyFont="1" applyBorder="1" applyAlignment="1">
      <alignment horizontal="center" vertical="center" wrapText="1"/>
    </xf>
    <xf numFmtId="0" fontId="47" fillId="0" borderId="22" xfId="1" applyFont="1" applyBorder="1" applyAlignment="1">
      <alignment horizontal="center" vertical="center" wrapText="1"/>
    </xf>
    <xf numFmtId="0" fontId="47" fillId="0" borderId="4" xfId="1" applyFont="1" applyBorder="1" applyAlignment="1">
      <alignment horizontal="center" vertical="center" wrapText="1"/>
    </xf>
    <xf numFmtId="0" fontId="47" fillId="0" borderId="5" xfId="1" applyFont="1" applyBorder="1" applyAlignment="1">
      <alignment horizontal="center" vertical="center" wrapText="1"/>
    </xf>
    <xf numFmtId="0" fontId="47" fillId="0" borderId="6" xfId="1" applyFont="1" applyBorder="1" applyAlignment="1">
      <alignment horizontal="center" vertical="center" wrapText="1"/>
    </xf>
    <xf numFmtId="0" fontId="47" fillId="0" borderId="10" xfId="1" applyFont="1" applyBorder="1" applyAlignment="1">
      <alignment horizontal="center" vertical="center" wrapText="1"/>
    </xf>
    <xf numFmtId="0" fontId="47" fillId="0" borderId="3" xfId="1" applyFont="1" applyBorder="1" applyAlignment="1">
      <alignment horizontal="center" vertical="center" wrapText="1"/>
    </xf>
    <xf numFmtId="0" fontId="47" fillId="0" borderId="7" xfId="1" applyFont="1" applyBorder="1" applyAlignment="1">
      <alignment horizontal="center" vertical="center" wrapText="1"/>
    </xf>
    <xf numFmtId="0" fontId="47" fillId="0" borderId="8" xfId="1" applyFont="1" applyBorder="1" applyAlignment="1">
      <alignment horizontal="center" vertical="center" wrapText="1"/>
    </xf>
    <xf numFmtId="0" fontId="47" fillId="0" borderId="9" xfId="1" applyFont="1" applyBorder="1" applyAlignment="1">
      <alignment horizontal="center" vertical="center" wrapText="1"/>
    </xf>
    <xf numFmtId="0" fontId="47" fillId="15" borderId="16" xfId="1" applyFont="1" applyFill="1" applyBorder="1" applyAlignment="1">
      <alignment horizontal="center" vertical="center" wrapText="1"/>
    </xf>
    <xf numFmtId="0" fontId="47" fillId="15" borderId="26" xfId="1" applyFont="1" applyFill="1" applyBorder="1" applyAlignment="1">
      <alignment horizontal="center" vertical="center" wrapText="1"/>
    </xf>
    <xf numFmtId="0" fontId="47" fillId="15" borderId="2" xfId="1" applyFont="1" applyFill="1" applyBorder="1" applyAlignment="1">
      <alignment horizontal="center" vertical="center" wrapText="1"/>
    </xf>
    <xf numFmtId="0" fontId="46" fillId="0" borderId="6" xfId="1" applyFont="1" applyBorder="1" applyAlignment="1">
      <alignment horizontal="center" vertical="center" wrapText="1"/>
    </xf>
    <xf numFmtId="0" fontId="46" fillId="0" borderId="17" xfId="1" applyFont="1" applyBorder="1" applyAlignment="1">
      <alignment horizontal="center" vertical="center" wrapText="1"/>
    </xf>
    <xf numFmtId="0" fontId="46" fillId="0" borderId="11" xfId="1" applyFont="1" applyBorder="1" applyAlignment="1">
      <alignment horizontal="center" vertical="center" wrapText="1"/>
    </xf>
    <xf numFmtId="0" fontId="46" fillId="0" borderId="3" xfId="1" applyFont="1" applyBorder="1" applyAlignment="1">
      <alignment horizontal="center" vertical="center" wrapText="1"/>
    </xf>
    <xf numFmtId="0" fontId="46" fillId="0" borderId="4" xfId="1" applyFont="1" applyBorder="1" applyAlignment="1">
      <alignment horizontal="center" vertical="center" wrapText="1"/>
    </xf>
    <xf numFmtId="0" fontId="46" fillId="0" borderId="5" xfId="1" applyFont="1" applyBorder="1" applyAlignment="1">
      <alignment horizontal="center" vertical="center" wrapText="1"/>
    </xf>
    <xf numFmtId="0" fontId="42" fillId="0" borderId="0" xfId="1" applyNumberFormat="1" applyFont="1" applyBorder="1" applyAlignment="1">
      <alignment horizontal="center" vertical="center"/>
    </xf>
    <xf numFmtId="0" fontId="69" fillId="37" borderId="7" xfId="1" applyFont="1" applyFill="1" applyBorder="1" applyAlignment="1">
      <alignment horizontal="center" vertical="center"/>
    </xf>
    <xf numFmtId="0" fontId="69" fillId="37" borderId="8" xfId="1" applyFont="1" applyFill="1" applyBorder="1" applyAlignment="1">
      <alignment horizontal="center" vertical="center"/>
    </xf>
    <xf numFmtId="0" fontId="69" fillId="37" borderId="9" xfId="1" applyFont="1" applyFill="1" applyBorder="1" applyAlignment="1">
      <alignment horizontal="center" vertical="center"/>
    </xf>
    <xf numFmtId="0" fontId="41" fillId="0" borderId="0" xfId="1" applyNumberFormat="1" applyFont="1" applyBorder="1" applyAlignment="1">
      <alignment horizontal="left" wrapText="1"/>
    </xf>
    <xf numFmtId="0" fontId="41" fillId="0" borderId="0" xfId="1" applyNumberFormat="1" applyFont="1" applyBorder="1" applyAlignment="1">
      <alignment horizontal="left"/>
    </xf>
    <xf numFmtId="0" fontId="41" fillId="0" borderId="0" xfId="1" quotePrefix="1" applyNumberFormat="1" applyFont="1" applyBorder="1" applyAlignment="1">
      <alignment horizontal="left" wrapText="1"/>
    </xf>
    <xf numFmtId="0" fontId="41" fillId="0" borderId="0" xfId="1" quotePrefix="1" applyFont="1" applyBorder="1" applyAlignment="1">
      <alignment horizontal="left" vertical="center" wrapText="1"/>
    </xf>
    <xf numFmtId="1" fontId="43" fillId="0" borderId="0" xfId="1" applyNumberFormat="1" applyFont="1" applyBorder="1" applyAlignment="1">
      <alignment horizontal="center" vertical="center" wrapText="1"/>
    </xf>
    <xf numFmtId="0" fontId="81" fillId="0" borderId="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56"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theme="0"/>
      </font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theme="0"/>
      </font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theme="0"/>
      </font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theme="0"/>
      </font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theme="0"/>
      </font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auto="1"/>
      </font>
      <fill>
        <patternFill>
          <bgColor theme="9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lor theme="0"/>
      </font>
    </dxf>
    <dxf>
      <font>
        <color auto="1"/>
      </font>
      <fill>
        <patternFill>
          <bgColor theme="9"/>
        </patternFill>
      </fill>
    </dxf>
    <dxf>
      <font>
        <condense val="0"/>
        <extend val="0"/>
        <color indexed="9"/>
      </font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/>
        <condense val="0"/>
        <extend val="0"/>
        <color indexed="13"/>
      </font>
      <fill>
        <patternFill>
          <bgColor indexed="18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54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00B0F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9"/>
      </font>
      <fill>
        <patternFill>
          <bgColor indexed="19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5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00FF"/>
      <color rgb="FF000000"/>
      <color rgb="FFFFCCFF"/>
      <color rgb="FF990000"/>
      <color rgb="FFD0FEDC"/>
      <color rgb="FF800000"/>
      <color rgb="FFFAF2B6"/>
      <color rgb="FFFFFFFF"/>
      <color rgb="FFE5FEFF"/>
      <color rgb="FFD3FD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485775</xdr:rowOff>
    </xdr:from>
    <xdr:to>
      <xdr:col>1</xdr:col>
      <xdr:colOff>295275</xdr:colOff>
      <xdr:row>1</xdr:row>
      <xdr:rowOff>485775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38125" y="4000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</xdr:colOff>
      <xdr:row>2</xdr:row>
      <xdr:rowOff>24849</xdr:rowOff>
    </xdr:from>
    <xdr:to>
      <xdr:col>37</xdr:col>
      <xdr:colOff>165652</xdr:colOff>
      <xdr:row>2</xdr:row>
      <xdr:rowOff>24849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4933951" y="424899"/>
          <a:ext cx="145152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927228</xdr:colOff>
      <xdr:row>2</xdr:row>
      <xdr:rowOff>4967</xdr:rowOff>
    </xdr:from>
    <xdr:to>
      <xdr:col>18</xdr:col>
      <xdr:colOff>356163</xdr:colOff>
      <xdr:row>2</xdr:row>
      <xdr:rowOff>4967</xdr:rowOff>
    </xdr:to>
    <xdr:cxnSp macro="">
      <xdr:nvCxnSpPr>
        <xdr:cNvPr id="4" name="Straight Connector 3"/>
        <xdr:cNvCxnSpPr/>
      </xdr:nvCxnSpPr>
      <xdr:spPr>
        <a:xfrm>
          <a:off x="1165353" y="405017"/>
          <a:ext cx="10672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25976</xdr:colOff>
      <xdr:row>1</xdr:row>
      <xdr:rowOff>192497</xdr:rowOff>
    </xdr:from>
    <xdr:to>
      <xdr:col>18</xdr:col>
      <xdr:colOff>284950</xdr:colOff>
      <xdr:row>1</xdr:row>
      <xdr:rowOff>192497</xdr:rowOff>
    </xdr:to>
    <xdr:cxnSp macro="">
      <xdr:nvCxnSpPr>
        <xdr:cNvPr id="3" name="Straight Connector 2"/>
        <xdr:cNvCxnSpPr/>
      </xdr:nvCxnSpPr>
      <xdr:spPr>
        <a:xfrm>
          <a:off x="1593271" y="417633"/>
          <a:ext cx="6399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25977</xdr:colOff>
      <xdr:row>1</xdr:row>
      <xdr:rowOff>190500</xdr:rowOff>
    </xdr:from>
    <xdr:to>
      <xdr:col>71</xdr:col>
      <xdr:colOff>25977</xdr:colOff>
      <xdr:row>1</xdr:row>
      <xdr:rowOff>190500</xdr:rowOff>
    </xdr:to>
    <xdr:cxnSp macro="">
      <xdr:nvCxnSpPr>
        <xdr:cNvPr id="5" name="Straight Connector 4"/>
        <xdr:cNvCxnSpPr/>
      </xdr:nvCxnSpPr>
      <xdr:spPr>
        <a:xfrm>
          <a:off x="6944591" y="415636"/>
          <a:ext cx="135081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Bang%20luong%20HCHCQG%20(11-2017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&#7842;NG%20L&#431;&#416;NG/$$$$$%20-%20%25%25%25%25/@@@@.%20Luong%20+%20PCTN%20NG/1.%20N&#226;ng%20(Lg%20+%20PC%20NG)/Luong,%20PCTN%202018/L&#432;&#417;ng+PC%20th&#225;ng%205.2018/@.%20Lg%20+%20PC%205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@@@.%20Luong%20+%20PCTN%20NG/1.%20N&#226;ng%20(Lg%20+%20PC%20NG)/3.%20Lg%20TX%20+%20PC%20NG%202014/9.%20LgTX%20+%20PCNG%2006-9-%202014/@1%20Lg+PC%209-20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&#7842;NG%20L&#431;&#416;NG/$$$$$%20-%20%25%25%25%25/@@@@.%20Luong%20+%20PCTN%20NG/1.%20N&#226;ng%20(Lg%20+%20PC%20NG)/Luong,%20PCTN%202018/L&#432;&#417;ng+PC%20th&#225;ng%206.2018/@2.%20Lg%20+%20PC%206.2018.%20chuan%20B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&#7842;NG%20L&#431;&#416;NG,%20%25%20PCNG\$$$$$%20-%20%25%25%25%25\@@@@.%20Luong%20+%20PCTN%20NG\1.%20N&#226;ng%20(Lg%20+%20PC%20NG)\Luong,%20PCTN%202020\L&#432;&#417;ng+PC%20th&#225;ng%2012.2020\@.%20Lg%20+%20PC%20den%20T12%20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g Dữ liệu (không sửa)"/>
      <sheetName val="1. Số lượng, cơ cấu"/>
      <sheetName val="2. Bảng lương hiện hành"/>
      <sheetName val="- DLiêu Gốc (Không sửa)"/>
      <sheetName val="Sheet1 (2)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1">
          <cell r="C1" t="str">
            <v>NGẠCH</v>
          </cell>
        </row>
        <row r="2">
          <cell r="C2" t="str">
            <v>Giảng viên cao cấp (hạng I)</v>
          </cell>
          <cell r="D2" t="str">
            <v>V.07.01.01</v>
          </cell>
          <cell r="E2">
            <v>6.2</v>
          </cell>
          <cell r="F2">
            <v>0.36</v>
          </cell>
          <cell r="G2" t="str">
            <v>A3</v>
          </cell>
          <cell r="H2" t="str">
            <v>A3.1</v>
          </cell>
        </row>
        <row r="3">
          <cell r="C3" t="str">
            <v>Giảng viên chính (hạng II)</v>
          </cell>
          <cell r="D3" t="str">
            <v>V.07.01.02</v>
          </cell>
          <cell r="E3">
            <v>4.4000000000000004</v>
          </cell>
          <cell r="F3">
            <v>0.34</v>
          </cell>
          <cell r="G3" t="str">
            <v>A2</v>
          </cell>
          <cell r="H3" t="str">
            <v>A2.1</v>
          </cell>
        </row>
        <row r="4">
          <cell r="C4" t="str">
            <v>Giảng viên (hạng III)</v>
          </cell>
          <cell r="D4" t="str">
            <v>V.07.01.03</v>
          </cell>
          <cell r="E4">
            <v>2.34</v>
          </cell>
          <cell r="F4">
            <v>0.33</v>
          </cell>
          <cell r="G4" t="str">
            <v>A1</v>
          </cell>
          <cell r="H4" t="str">
            <v>- - -</v>
          </cell>
        </row>
        <row r="5">
          <cell r="C5" t="str">
            <v>Giảng viên chính</v>
          </cell>
          <cell r="D5" t="str">
            <v>15.110</v>
          </cell>
          <cell r="E5">
            <v>4.4000000000000004</v>
          </cell>
          <cell r="F5">
            <v>0.34</v>
          </cell>
          <cell r="G5" t="str">
            <v>A2</v>
          </cell>
          <cell r="H5" t="str">
            <v>A2.1</v>
          </cell>
        </row>
        <row r="6">
          <cell r="C6" t="str">
            <v xml:space="preserve">Giảng viên </v>
          </cell>
          <cell r="D6" t="str">
            <v>15.111</v>
          </cell>
          <cell r="E6">
            <v>2.34</v>
          </cell>
          <cell r="F6">
            <v>0.33</v>
          </cell>
          <cell r="G6" t="str">
            <v>A1</v>
          </cell>
          <cell r="H6" t="str">
            <v>- - -</v>
          </cell>
        </row>
        <row r="7">
          <cell r="C7" t="str">
            <v>Giáo viên trung học cao cấp</v>
          </cell>
          <cell r="D7" t="str">
            <v>15.112</v>
          </cell>
          <cell r="E7">
            <v>4</v>
          </cell>
          <cell r="F7">
            <v>0.34</v>
          </cell>
          <cell r="G7" t="str">
            <v>A2</v>
          </cell>
          <cell r="H7" t="str">
            <v>A2.2</v>
          </cell>
        </row>
        <row r="8">
          <cell r="C8" t="str">
            <v>Giáo viên trung học</v>
          </cell>
          <cell r="D8" t="str">
            <v>15.113</v>
          </cell>
          <cell r="E8">
            <v>2.34</v>
          </cell>
          <cell r="F8">
            <v>0.33</v>
          </cell>
          <cell r="G8" t="str">
            <v>A1</v>
          </cell>
          <cell r="H8" t="str">
            <v>- - -</v>
          </cell>
        </row>
        <row r="9">
          <cell r="C9" t="str">
            <v>Giáo viên trung học cơ sở chính</v>
          </cell>
          <cell r="D9" t="str">
            <v>15a.201</v>
          </cell>
          <cell r="E9">
            <v>2.34</v>
          </cell>
          <cell r="F9">
            <v>0.33</v>
          </cell>
          <cell r="G9" t="str">
            <v>A1</v>
          </cell>
          <cell r="H9" t="str">
            <v>- - -</v>
          </cell>
        </row>
        <row r="10">
          <cell r="C10" t="str">
            <v>Giáo viên trung học cơ sở</v>
          </cell>
          <cell r="D10" t="str">
            <v>15a.202</v>
          </cell>
          <cell r="E10">
            <v>2.1</v>
          </cell>
          <cell r="F10">
            <v>0.31</v>
          </cell>
          <cell r="G10" t="str">
            <v>A0</v>
          </cell>
          <cell r="H10" t="str">
            <v>- - -</v>
          </cell>
        </row>
        <row r="11">
          <cell r="C11" t="str">
            <v>Nghiên cứu viên cao cấp (hạng I)</v>
          </cell>
          <cell r="D11" t="str">
            <v>V.05.01.01</v>
          </cell>
          <cell r="E11">
            <v>6.2</v>
          </cell>
          <cell r="F11">
            <v>0.36</v>
          </cell>
          <cell r="G11" t="str">
            <v>A3</v>
          </cell>
          <cell r="H11" t="str">
            <v>A3.1</v>
          </cell>
        </row>
        <row r="12">
          <cell r="C12" t="str">
            <v>Nghiên cứu viên chính (hạng II)</v>
          </cell>
          <cell r="D12" t="str">
            <v>V.05.01.02</v>
          </cell>
          <cell r="E12">
            <v>4.4000000000000004</v>
          </cell>
          <cell r="F12">
            <v>0.34</v>
          </cell>
          <cell r="G12" t="str">
            <v>A2</v>
          </cell>
          <cell r="H12" t="str">
            <v>A2.1</v>
          </cell>
        </row>
        <row r="13">
          <cell r="C13" t="str">
            <v>Nghiên cứu viên (hạng III)</v>
          </cell>
          <cell r="D13" t="str">
            <v>V.05.01.03</v>
          </cell>
          <cell r="E13">
            <v>2.34</v>
          </cell>
          <cell r="F13">
            <v>0.33</v>
          </cell>
          <cell r="G13" t="str">
            <v>A1</v>
          </cell>
          <cell r="H13" t="str">
            <v>- - -</v>
          </cell>
        </row>
        <row r="14">
          <cell r="C14" t="str">
            <v>Chuyên viên cao cấp</v>
          </cell>
          <cell r="D14" t="str">
            <v>01.001</v>
          </cell>
          <cell r="E14">
            <v>6.2</v>
          </cell>
          <cell r="F14">
            <v>0.36</v>
          </cell>
          <cell r="G14" t="str">
            <v>A3</v>
          </cell>
          <cell r="H14" t="str">
            <v>A3.1</v>
          </cell>
        </row>
        <row r="15">
          <cell r="C15" t="str">
            <v>Chuyên viên chính</v>
          </cell>
          <cell r="D15" t="str">
            <v>01.002</v>
          </cell>
          <cell r="E15">
            <v>4.4000000000000004</v>
          </cell>
          <cell r="F15">
            <v>0.34</v>
          </cell>
          <cell r="G15" t="str">
            <v>A2</v>
          </cell>
          <cell r="H15" t="str">
            <v>A2.1</v>
          </cell>
        </row>
        <row r="16">
          <cell r="C16" t="str">
            <v>Chuyên viên</v>
          </cell>
          <cell r="D16" t="str">
            <v>01.003</v>
          </cell>
          <cell r="E16">
            <v>2.34</v>
          </cell>
          <cell r="F16">
            <v>0.33</v>
          </cell>
          <cell r="G16" t="str">
            <v>A1</v>
          </cell>
          <cell r="H16" t="str">
            <v>- - -</v>
          </cell>
        </row>
        <row r="17">
          <cell r="C17" t="str">
            <v>Chuyên viên (cao đẳng)</v>
          </cell>
          <cell r="D17" t="str">
            <v>01a.003</v>
          </cell>
          <cell r="E17">
            <v>2.1</v>
          </cell>
          <cell r="F17">
            <v>0.31</v>
          </cell>
          <cell r="G17" t="str">
            <v>A0</v>
          </cell>
          <cell r="H17" t="str">
            <v>- - -</v>
          </cell>
        </row>
        <row r="18">
          <cell r="C18" t="str">
            <v>Cán sự</v>
          </cell>
          <cell r="D18" t="str">
            <v>01.004</v>
          </cell>
          <cell r="E18">
            <v>1.86</v>
          </cell>
          <cell r="F18">
            <v>0.2</v>
          </cell>
          <cell r="G18" t="str">
            <v>B</v>
          </cell>
          <cell r="H18" t="str">
            <v>- - -</v>
          </cell>
        </row>
        <row r="19">
          <cell r="C19" t="str">
            <v>Thanh tra viên cao cấp</v>
          </cell>
          <cell r="D19" t="str">
            <v>04.023</v>
          </cell>
          <cell r="E19">
            <v>6.2</v>
          </cell>
          <cell r="F19">
            <v>0.36</v>
          </cell>
          <cell r="G19" t="str">
            <v>A3</v>
          </cell>
          <cell r="H19" t="str">
            <v>A3.1</v>
          </cell>
        </row>
        <row r="20">
          <cell r="C20" t="str">
            <v>Thanh tra viên chính</v>
          </cell>
          <cell r="D20" t="str">
            <v>04.024</v>
          </cell>
          <cell r="E20">
            <v>4.4000000000000004</v>
          </cell>
          <cell r="F20">
            <v>0.34</v>
          </cell>
          <cell r="G20" t="str">
            <v>A2</v>
          </cell>
          <cell r="H20" t="str">
            <v>A2.1</v>
          </cell>
        </row>
        <row r="21">
          <cell r="C21" t="str">
            <v>Thanh tra viên</v>
          </cell>
          <cell r="D21" t="str">
            <v>04.025</v>
          </cell>
          <cell r="E21">
            <v>2.34</v>
          </cell>
          <cell r="F21">
            <v>0.33</v>
          </cell>
          <cell r="G21" t="str">
            <v>A1</v>
          </cell>
          <cell r="H21" t="str">
            <v>- - -</v>
          </cell>
        </row>
        <row r="22">
          <cell r="C22" t="str">
            <v>Kiểm tra viên</v>
          </cell>
          <cell r="D22" t="str">
            <v>04,025A</v>
          </cell>
          <cell r="E22">
            <v>2.34</v>
          </cell>
          <cell r="F22">
            <v>0.33</v>
          </cell>
          <cell r="G22" t="str">
            <v>A1</v>
          </cell>
          <cell r="H22" t="str">
            <v>- - -</v>
          </cell>
        </row>
        <row r="23">
          <cell r="C23" t="str">
            <v>Thẩm tra viên</v>
          </cell>
          <cell r="D23" t="str">
            <v>03.230</v>
          </cell>
          <cell r="E23">
            <v>2.34</v>
          </cell>
          <cell r="F23">
            <v>0.33</v>
          </cell>
          <cell r="G23" t="str">
            <v>A1</v>
          </cell>
          <cell r="H23" t="str">
            <v>- - -</v>
          </cell>
        </row>
        <row r="24">
          <cell r="C24" t="str">
            <v>Thư viện viên cao cấp</v>
          </cell>
          <cell r="D24" t="str">
            <v>17.168</v>
          </cell>
          <cell r="E24">
            <v>5.75</v>
          </cell>
          <cell r="F24">
            <v>0.36</v>
          </cell>
          <cell r="G24" t="str">
            <v>A3</v>
          </cell>
          <cell r="H24" t="str">
            <v>A3.2</v>
          </cell>
        </row>
        <row r="25">
          <cell r="C25" t="str">
            <v>Thư viện viên chính</v>
          </cell>
          <cell r="D25" t="str">
            <v>17.169</v>
          </cell>
          <cell r="E25">
            <v>4</v>
          </cell>
          <cell r="F25">
            <v>0.34</v>
          </cell>
          <cell r="G25" t="str">
            <v>A2</v>
          </cell>
          <cell r="H25" t="str">
            <v>A2.2</v>
          </cell>
        </row>
        <row r="26">
          <cell r="C26" t="str">
            <v>Thư viện viên</v>
          </cell>
          <cell r="D26" t="str">
            <v>17.170</v>
          </cell>
          <cell r="E26">
            <v>2.34</v>
          </cell>
          <cell r="F26">
            <v>0.33</v>
          </cell>
          <cell r="G26" t="str">
            <v>A1</v>
          </cell>
          <cell r="H26" t="str">
            <v>- - -</v>
          </cell>
        </row>
        <row r="27">
          <cell r="C27" t="str">
            <v>Thư viện viên (cao đẳng)</v>
          </cell>
          <cell r="D27" t="str">
            <v>17a.170</v>
          </cell>
          <cell r="E27">
            <v>2.1</v>
          </cell>
          <cell r="F27">
            <v>0.31</v>
          </cell>
          <cell r="G27" t="str">
            <v>A0</v>
          </cell>
          <cell r="H27" t="str">
            <v>- - -</v>
          </cell>
        </row>
        <row r="28">
          <cell r="C28" t="str">
            <v>Thư viện viên trung cấp</v>
          </cell>
          <cell r="D28" t="str">
            <v>17.171</v>
          </cell>
          <cell r="E28">
            <v>1.86</v>
          </cell>
          <cell r="F28">
            <v>0.2</v>
          </cell>
          <cell r="G28" t="str">
            <v>B</v>
          </cell>
          <cell r="H28" t="str">
            <v>- - -</v>
          </cell>
        </row>
        <row r="29">
          <cell r="C29" t="str">
            <v>Kỹ sư cao cấp (hạng I)</v>
          </cell>
          <cell r="D29" t="str">
            <v>V.05.02.05</v>
          </cell>
          <cell r="E29">
            <v>6.2</v>
          </cell>
          <cell r="F29">
            <v>0.36</v>
          </cell>
          <cell r="G29" t="str">
            <v>A3</v>
          </cell>
          <cell r="H29" t="str">
            <v>A3.1</v>
          </cell>
        </row>
        <row r="30">
          <cell r="C30" t="str">
            <v>Kỹ sư chính (hạng II)</v>
          </cell>
          <cell r="D30" t="str">
            <v>V.05.02.06</v>
          </cell>
          <cell r="E30">
            <v>4.4000000000000004</v>
          </cell>
          <cell r="F30">
            <v>0.34</v>
          </cell>
          <cell r="G30" t="str">
            <v>A2</v>
          </cell>
          <cell r="H30" t="str">
            <v>A2.1</v>
          </cell>
        </row>
        <row r="31">
          <cell r="C31" t="str">
            <v>Kỹ sư (hạng III)</v>
          </cell>
          <cell r="D31" t="str">
            <v>V.05.02.07</v>
          </cell>
          <cell r="E31">
            <v>2.34</v>
          </cell>
          <cell r="F31">
            <v>0.33</v>
          </cell>
          <cell r="G31" t="str">
            <v>A1</v>
          </cell>
          <cell r="H31" t="str">
            <v>- - -</v>
          </cell>
        </row>
        <row r="32">
          <cell r="C32" t="str">
            <v>Kỹ thuật viên (hạng IV)</v>
          </cell>
          <cell r="D32" t="str">
            <v>V.05.02.08</v>
          </cell>
          <cell r="E32">
            <v>1.86</v>
          </cell>
          <cell r="F32">
            <v>0.2</v>
          </cell>
          <cell r="G32" t="str">
            <v>B</v>
          </cell>
          <cell r="H32" t="str">
            <v>- - -</v>
          </cell>
        </row>
        <row r="33">
          <cell r="C33" t="str">
            <v>Bác sỹ cao cấp</v>
          </cell>
          <cell r="D33" t="str">
            <v>16.116</v>
          </cell>
          <cell r="E33">
            <v>6.2</v>
          </cell>
          <cell r="F33">
            <v>0.36</v>
          </cell>
          <cell r="G33" t="str">
            <v>A3</v>
          </cell>
          <cell r="H33" t="str">
            <v>A3.1</v>
          </cell>
        </row>
        <row r="34">
          <cell r="C34" t="str">
            <v>Bác sỹ chính</v>
          </cell>
          <cell r="D34" t="str">
            <v xml:space="preserve"> </v>
          </cell>
          <cell r="E34">
            <v>4.4000000000000004</v>
          </cell>
          <cell r="F34">
            <v>0.34</v>
          </cell>
          <cell r="G34" t="str">
            <v>A2</v>
          </cell>
          <cell r="H34" t="str">
            <v>A2.1</v>
          </cell>
        </row>
        <row r="35">
          <cell r="C35" t="str">
            <v>Bác sỹ</v>
          </cell>
          <cell r="D35" t="str">
            <v>16.118</v>
          </cell>
          <cell r="E35">
            <v>2.34</v>
          </cell>
          <cell r="F35">
            <v>0.33</v>
          </cell>
          <cell r="G35" t="str">
            <v>A1</v>
          </cell>
          <cell r="H35" t="str">
            <v>- - -</v>
          </cell>
        </row>
        <row r="36">
          <cell r="C36" t="str">
            <v>Y sỹ</v>
          </cell>
          <cell r="D36" t="str">
            <v>16.119</v>
          </cell>
          <cell r="E36">
            <v>1.86</v>
          </cell>
          <cell r="F36">
            <v>0.2</v>
          </cell>
          <cell r="G36" t="str">
            <v>B</v>
          </cell>
          <cell r="H36" t="str">
            <v>- - -</v>
          </cell>
        </row>
        <row r="37">
          <cell r="C37" t="str">
            <v>Biên tập viên cao cấp</v>
          </cell>
          <cell r="D37" t="str">
            <v>17.139</v>
          </cell>
          <cell r="E37">
            <v>6.2</v>
          </cell>
          <cell r="F37">
            <v>0.36</v>
          </cell>
          <cell r="G37" t="str">
            <v>A3</v>
          </cell>
          <cell r="H37" t="str">
            <v>A3.1</v>
          </cell>
        </row>
        <row r="38">
          <cell r="C38" t="str">
            <v>Biên tập viên chính</v>
          </cell>
          <cell r="D38" t="str">
            <v>17.140</v>
          </cell>
          <cell r="E38">
            <v>4.4000000000000004</v>
          </cell>
          <cell r="F38">
            <v>0.34</v>
          </cell>
          <cell r="G38" t="str">
            <v>A2</v>
          </cell>
          <cell r="H38" t="str">
            <v>A2.1</v>
          </cell>
        </row>
        <row r="39">
          <cell r="C39" t="str">
            <v>Biên tập viên</v>
          </cell>
          <cell r="D39" t="str">
            <v>17.141</v>
          </cell>
          <cell r="E39">
            <v>2.34</v>
          </cell>
          <cell r="F39">
            <v>0.33</v>
          </cell>
          <cell r="G39" t="str">
            <v>A1</v>
          </cell>
          <cell r="H39" t="str">
            <v>- - -</v>
          </cell>
        </row>
        <row r="40">
          <cell r="C40" t="str">
            <v>Phóng viên cao cấp</v>
          </cell>
          <cell r="D40" t="str">
            <v>17.142</v>
          </cell>
          <cell r="E40">
            <v>6.2</v>
          </cell>
          <cell r="F40">
            <v>0.36</v>
          </cell>
          <cell r="G40" t="str">
            <v>A3</v>
          </cell>
          <cell r="H40" t="str">
            <v>A3.1</v>
          </cell>
        </row>
        <row r="41">
          <cell r="C41" t="str">
            <v>Phóng viên chính</v>
          </cell>
          <cell r="D41" t="str">
            <v>17.143</v>
          </cell>
          <cell r="E41">
            <v>4.4000000000000004</v>
          </cell>
          <cell r="F41">
            <v>0.34</v>
          </cell>
          <cell r="G41" t="str">
            <v>A2</v>
          </cell>
          <cell r="H41" t="str">
            <v>A2.1</v>
          </cell>
        </row>
        <row r="42">
          <cell r="C42" t="str">
            <v>Phóng viên</v>
          </cell>
          <cell r="D42" t="str">
            <v>17.144</v>
          </cell>
          <cell r="E42">
            <v>2.34</v>
          </cell>
          <cell r="F42">
            <v>0.33</v>
          </cell>
          <cell r="G42" t="str">
            <v>A1</v>
          </cell>
          <cell r="H42" t="str">
            <v>- - -</v>
          </cell>
        </row>
        <row r="43">
          <cell r="C43" t="str">
            <v>Kế toán viên cao cấp</v>
          </cell>
          <cell r="D43" t="str">
            <v>06.029</v>
          </cell>
          <cell r="E43">
            <v>5.75</v>
          </cell>
          <cell r="F43">
            <v>0.36</v>
          </cell>
          <cell r="G43" t="str">
            <v>A3</v>
          </cell>
          <cell r="H43" t="str">
            <v>A3.2</v>
          </cell>
        </row>
        <row r="44">
          <cell r="C44" t="str">
            <v>Kế toán viên chính</v>
          </cell>
          <cell r="D44" t="str">
            <v>06.030</v>
          </cell>
          <cell r="E44">
            <v>4</v>
          </cell>
          <cell r="F44">
            <v>0.34</v>
          </cell>
          <cell r="G44" t="str">
            <v>A2</v>
          </cell>
          <cell r="H44" t="str">
            <v>A2.2</v>
          </cell>
        </row>
        <row r="45">
          <cell r="C45" t="str">
            <v>Kế toán viên</v>
          </cell>
          <cell r="D45" t="str">
            <v>06.031</v>
          </cell>
          <cell r="E45">
            <v>2.34</v>
          </cell>
          <cell r="F45">
            <v>0.33</v>
          </cell>
          <cell r="G45" t="str">
            <v>A1</v>
          </cell>
          <cell r="H45" t="str">
            <v>- - -</v>
          </cell>
        </row>
        <row r="46">
          <cell r="C46" t="str">
            <v>Kế toán viên (cao đẳng)</v>
          </cell>
          <cell r="D46" t="str">
            <v>06a.031</v>
          </cell>
          <cell r="E46">
            <v>2.1</v>
          </cell>
          <cell r="F46">
            <v>0.31</v>
          </cell>
          <cell r="G46" t="str">
            <v>A0</v>
          </cell>
          <cell r="H46" t="str">
            <v>- - -</v>
          </cell>
        </row>
        <row r="47">
          <cell r="C47" t="str">
            <v>Kế toán viên trung cấp</v>
          </cell>
          <cell r="D47" t="str">
            <v>06.032</v>
          </cell>
          <cell r="E47">
            <v>1.86</v>
          </cell>
          <cell r="F47">
            <v>0.2</v>
          </cell>
          <cell r="G47" t="str">
            <v>B</v>
          </cell>
          <cell r="H47" t="str">
            <v>- - -</v>
          </cell>
        </row>
        <row r="48">
          <cell r="C48" t="str">
            <v>Lưu trữ viên</v>
          </cell>
          <cell r="D48" t="str">
            <v>02.014</v>
          </cell>
          <cell r="E48">
            <v>2.34</v>
          </cell>
          <cell r="F48">
            <v>0.33</v>
          </cell>
          <cell r="G48" t="str">
            <v>A1</v>
          </cell>
          <cell r="H48" t="str">
            <v>- - -</v>
          </cell>
        </row>
        <row r="49">
          <cell r="C49" t="str">
            <v>Lưu trữ viên (cao đẳng)</v>
          </cell>
          <cell r="D49" t="str">
            <v>02a.014</v>
          </cell>
          <cell r="E49">
            <v>2.1</v>
          </cell>
          <cell r="F49">
            <v>0.31</v>
          </cell>
          <cell r="G49" t="str">
            <v>A0</v>
          </cell>
          <cell r="H49" t="str">
            <v>- - -</v>
          </cell>
        </row>
        <row r="50">
          <cell r="C50" t="str">
            <v>Lưu trữ viên trung cấp</v>
          </cell>
          <cell r="D50" t="str">
            <v>02.015</v>
          </cell>
          <cell r="E50">
            <v>1.86</v>
          </cell>
          <cell r="F50">
            <v>0.2</v>
          </cell>
          <cell r="G50" t="str">
            <v>B</v>
          </cell>
          <cell r="H50" t="str">
            <v>- - -</v>
          </cell>
        </row>
        <row r="51">
          <cell r="C51" t="str">
            <v>Kỹ Thuật viên đánh máy</v>
          </cell>
          <cell r="D51" t="str">
            <v>01.005</v>
          </cell>
          <cell r="E51">
            <v>2.0499999999999998</v>
          </cell>
          <cell r="F51">
            <v>0.18</v>
          </cell>
          <cell r="G51" t="str">
            <v>C</v>
          </cell>
          <cell r="H51" t="str">
            <v>Nhân viên</v>
          </cell>
        </row>
        <row r="52">
          <cell r="C52" t="str">
            <v>Nhân viên đánh máy</v>
          </cell>
          <cell r="D52" t="str">
            <v>01.006</v>
          </cell>
          <cell r="E52">
            <v>1.5</v>
          </cell>
          <cell r="F52">
            <v>0.18</v>
          </cell>
          <cell r="G52" t="str">
            <v>C</v>
          </cell>
          <cell r="H52" t="str">
            <v>Nhân viên</v>
          </cell>
        </row>
        <row r="53">
          <cell r="C53" t="str">
            <v>Nhân viên kỹ thuật</v>
          </cell>
          <cell r="D53" t="str">
            <v>01.007</v>
          </cell>
          <cell r="E53">
            <v>1.65</v>
          </cell>
          <cell r="F53">
            <v>0.18</v>
          </cell>
          <cell r="G53" t="str">
            <v>C</v>
          </cell>
          <cell r="H53" t="str">
            <v>Nhân viên</v>
          </cell>
        </row>
        <row r="54">
          <cell r="C54" t="str">
            <v>Nhân viên văn thư</v>
          </cell>
          <cell r="D54" t="str">
            <v>01.008</v>
          </cell>
          <cell r="E54">
            <v>1.35</v>
          </cell>
          <cell r="F54">
            <v>0.18</v>
          </cell>
          <cell r="G54" t="str">
            <v>C</v>
          </cell>
          <cell r="H54" t="str">
            <v>Nhân viên</v>
          </cell>
        </row>
        <row r="55">
          <cell r="C55" t="str">
            <v>Nhân viên phục vụ</v>
          </cell>
          <cell r="D55" t="str">
            <v>01.009</v>
          </cell>
          <cell r="E55">
            <v>1</v>
          </cell>
          <cell r="F55">
            <v>0.18</v>
          </cell>
          <cell r="G55" t="str">
            <v>C</v>
          </cell>
          <cell r="H55" t="str">
            <v>Nhân viên</v>
          </cell>
        </row>
        <row r="56">
          <cell r="C56" t="str">
            <v>Lái xe cơ quan</v>
          </cell>
          <cell r="D56" t="str">
            <v>01.010</v>
          </cell>
          <cell r="E56">
            <v>2.0499999999999998</v>
          </cell>
          <cell r="F56">
            <v>0.18</v>
          </cell>
          <cell r="G56" t="str">
            <v>C</v>
          </cell>
          <cell r="H56" t="str">
            <v>Nhân viên</v>
          </cell>
        </row>
        <row r="57">
          <cell r="C57" t="str">
            <v>Nhân viên bảo vệ</v>
          </cell>
          <cell r="D57" t="str">
            <v>01.011</v>
          </cell>
          <cell r="E57">
            <v>1.5</v>
          </cell>
          <cell r="F57">
            <v>0.18</v>
          </cell>
          <cell r="G57" t="str">
            <v>C</v>
          </cell>
          <cell r="H57" t="str">
            <v>Nhân viên</v>
          </cell>
        </row>
        <row r="58">
          <cell r="C58" t="str">
            <v>Thủ kho bảo quản</v>
          </cell>
          <cell r="D58" t="str">
            <v>19.185</v>
          </cell>
          <cell r="E58">
            <v>1.65</v>
          </cell>
          <cell r="F58">
            <v>0.18</v>
          </cell>
          <cell r="G58" t="str">
            <v>C</v>
          </cell>
          <cell r="H58" t="str">
            <v>Nhân viên</v>
          </cell>
        </row>
        <row r="59">
          <cell r="C59" t="str">
            <v>Thủ quỹ</v>
          </cell>
          <cell r="D59" t="str">
            <v>06.035</v>
          </cell>
          <cell r="E59">
            <v>1.5</v>
          </cell>
          <cell r="F59">
            <v>0.18</v>
          </cell>
          <cell r="G59" t="str">
            <v>C</v>
          </cell>
          <cell r="H59" t="str">
            <v>Nhân viên</v>
          </cell>
        </row>
        <row r="61">
          <cell r="C61" t="str">
            <v>CHỨC VỤ</v>
          </cell>
          <cell r="D61" t="str">
            <v>PC CV</v>
          </cell>
        </row>
        <row r="62">
          <cell r="C62" t="str">
            <v>Giám đốc Học viện</v>
          </cell>
          <cell r="D62">
            <v>1.25</v>
          </cell>
        </row>
        <row r="63">
          <cell r="C63" t="str">
            <v>Phó Giám đốc Học viện</v>
          </cell>
          <cell r="D63">
            <v>1.1000000000000001</v>
          </cell>
        </row>
        <row r="64">
          <cell r="C64" t="str">
            <v>Nguyên Phó Giám đốc Học viện</v>
          </cell>
          <cell r="D64">
            <v>1.1000000000000001</v>
          </cell>
        </row>
        <row r="65">
          <cell r="C65" t="str">
            <v>Trưởng khoa</v>
          </cell>
          <cell r="D65" t="str">
            <v>1,0</v>
          </cell>
        </row>
        <row r="66">
          <cell r="C66" t="str">
            <v>Nguyên Trưởng khoa</v>
          </cell>
          <cell r="D66" t="str">
            <v>1,0</v>
          </cell>
        </row>
        <row r="67">
          <cell r="C67" t="str">
            <v>Q. Trưởng khoa</v>
          </cell>
          <cell r="D67">
            <v>1</v>
          </cell>
        </row>
        <row r="68">
          <cell r="C68" t="str">
            <v>Nguyên Q. Trưởng khoa</v>
          </cell>
          <cell r="D68">
            <v>1</v>
          </cell>
        </row>
        <row r="69">
          <cell r="C69" t="str">
            <v>Giám đốc phân viện</v>
          </cell>
          <cell r="D69">
            <v>1</v>
          </cell>
        </row>
        <row r="70">
          <cell r="C70" t="str">
            <v>Trưởng ban</v>
          </cell>
          <cell r="D70" t="str">
            <v>1,0</v>
          </cell>
        </row>
        <row r="71">
          <cell r="C71" t="str">
            <v>Nguyên Trưởng ban</v>
          </cell>
          <cell r="D71" t="str">
            <v>1,0</v>
          </cell>
        </row>
        <row r="72">
          <cell r="C72" t="str">
            <v>Tổng Biên tập</v>
          </cell>
          <cell r="D72" t="str">
            <v>1,0</v>
          </cell>
        </row>
        <row r="73">
          <cell r="C73" t="str">
            <v>Viện Trưởng</v>
          </cell>
          <cell r="D73" t="str">
            <v>1,0</v>
          </cell>
        </row>
        <row r="74">
          <cell r="C74" t="str">
            <v>Nguyên Viện Trưởng</v>
          </cell>
          <cell r="D74" t="str">
            <v>1,0</v>
          </cell>
        </row>
        <row r="75">
          <cell r="C75" t="str">
            <v>Giám đốc (cấp vụ)</v>
          </cell>
          <cell r="D75" t="str">
            <v>1,0</v>
          </cell>
        </row>
        <row r="76">
          <cell r="C76" t="str">
            <v>Chánh Văn phòng</v>
          </cell>
          <cell r="D76" t="str">
            <v>1,0</v>
          </cell>
        </row>
        <row r="77">
          <cell r="C77" t="str">
            <v>Phó Trưởng khoa</v>
          </cell>
          <cell r="D77" t="str">
            <v>0,8</v>
          </cell>
        </row>
        <row r="78">
          <cell r="C78" t="str">
            <v>Nguyên Phó Trưởng khoa</v>
          </cell>
          <cell r="D78" t="str">
            <v>0,8</v>
          </cell>
        </row>
        <row r="79">
          <cell r="C79" t="str">
            <v>Phó Trưởng ban</v>
          </cell>
          <cell r="D79" t="str">
            <v>0,8</v>
          </cell>
        </row>
        <row r="80">
          <cell r="C80" t="str">
            <v>Phó Trưởng ban (PT)</v>
          </cell>
          <cell r="D80" t="str">
            <v>0,8</v>
          </cell>
        </row>
        <row r="81">
          <cell r="C81" t="str">
            <v>Nguyên Phó Trưởng ban</v>
          </cell>
          <cell r="D81" t="str">
            <v>0,8</v>
          </cell>
        </row>
        <row r="82">
          <cell r="C82" t="str">
            <v>Phó Tổng biên tập</v>
          </cell>
          <cell r="D82" t="str">
            <v>0,8</v>
          </cell>
        </row>
        <row r="83">
          <cell r="C83" t="str">
            <v>Phó Viện trưởng</v>
          </cell>
          <cell r="D83" t="str">
            <v>0,8</v>
          </cell>
        </row>
        <row r="84">
          <cell r="C84" t="str">
            <v>Nguyên Phó Viện trưởng</v>
          </cell>
          <cell r="D84" t="str">
            <v>0,8</v>
          </cell>
        </row>
        <row r="85">
          <cell r="C85" t="str">
            <v>Phó Giám đốc (cấp vụ)</v>
          </cell>
          <cell r="D85" t="str">
            <v>0,8</v>
          </cell>
        </row>
        <row r="86">
          <cell r="C86" t="str">
            <v>Phó Chánh Văn phòng</v>
          </cell>
          <cell r="D86" t="str">
            <v>0,8</v>
          </cell>
        </row>
        <row r="87">
          <cell r="C87" t="str">
            <v>Giám đốc (cấp phòng)</v>
          </cell>
          <cell r="D87">
            <v>0.6</v>
          </cell>
        </row>
        <row r="88">
          <cell r="C88" t="str">
            <v>Chánh Văn phòng (cấp phòng)</v>
          </cell>
          <cell r="D88">
            <v>0.6</v>
          </cell>
        </row>
        <row r="89">
          <cell r="C89" t="str">
            <v>Trưởng khoa (cấp phòng)</v>
          </cell>
          <cell r="D89" t="str">
            <v>0,6</v>
          </cell>
        </row>
        <row r="90">
          <cell r="C90" t="str">
            <v>Trưởng phòng</v>
          </cell>
          <cell r="D90" t="str">
            <v>0,6</v>
          </cell>
        </row>
        <row r="91">
          <cell r="C91" t="str">
            <v>Q. Trưởng phòng</v>
          </cell>
          <cell r="D91" t="str">
            <v>0,6</v>
          </cell>
        </row>
        <row r="92">
          <cell r="C92" t="str">
            <v>Trưởng bộ môn</v>
          </cell>
          <cell r="D92" t="str">
            <v>0,6</v>
          </cell>
        </row>
        <row r="93">
          <cell r="C93" t="str">
            <v>Nguyên Trưởng bộ môn</v>
          </cell>
          <cell r="D93" t="str">
            <v>0,6</v>
          </cell>
        </row>
        <row r="94">
          <cell r="C94" t="str">
            <v>Trưởng ban (cấp phòng)</v>
          </cell>
          <cell r="D94" t="str">
            <v>0,6</v>
          </cell>
        </row>
        <row r="95">
          <cell r="C95" t="str">
            <v>Chủ nhiệm (cấp phòng)</v>
          </cell>
          <cell r="D95" t="str">
            <v>0,6</v>
          </cell>
        </row>
        <row r="96">
          <cell r="C96" t="str">
            <v>Đội Trưởng (cấp phòng)</v>
          </cell>
          <cell r="D96" t="str">
            <v>0,6</v>
          </cell>
        </row>
        <row r="97">
          <cell r="C97" t="str">
            <v>Phó Trưởng phòng</v>
          </cell>
          <cell r="D97" t="str">
            <v>0,4</v>
          </cell>
        </row>
        <row r="98">
          <cell r="C98" t="str">
            <v>Phó Trưởng phòng (PT)</v>
          </cell>
          <cell r="D98" t="str">
            <v>0,4</v>
          </cell>
        </row>
        <row r="99">
          <cell r="C99" t="str">
            <v>Phó Trưởng bộ môn</v>
          </cell>
          <cell r="D99" t="str">
            <v>0,4</v>
          </cell>
        </row>
        <row r="100">
          <cell r="C100" t="str">
            <v>Nguyên Phó Trưởng bộ môn</v>
          </cell>
          <cell r="D100" t="str">
            <v>0,4</v>
          </cell>
        </row>
        <row r="101">
          <cell r="C101" t="str">
            <v>Phó Trưởng ban (cấp phòng)</v>
          </cell>
          <cell r="D101" t="str">
            <v>0,4</v>
          </cell>
        </row>
        <row r="102">
          <cell r="C102" t="str">
            <v>Phó Trưởng ban (cấp phòng)</v>
          </cell>
          <cell r="D102" t="str">
            <v>0,4</v>
          </cell>
        </row>
        <row r="103">
          <cell r="C103" t="str">
            <v>Phó Chủ nhiệm (cấp phòng)</v>
          </cell>
          <cell r="D103" t="str">
            <v>0,4</v>
          </cell>
        </row>
        <row r="104">
          <cell r="C104" t="str">
            <v>Phó Giám đốc (cấp phòng)</v>
          </cell>
          <cell r="D104" t="str">
            <v>0,4</v>
          </cell>
        </row>
        <row r="105">
          <cell r="C105" t="str">
            <v>Phó Chánh Văn phòng (cấp phòng)</v>
          </cell>
          <cell r="D105" t="str">
            <v>0,4</v>
          </cell>
        </row>
        <row r="106">
          <cell r="C106" t="str">
            <v>Đội Phó (cấp phòng)</v>
          </cell>
          <cell r="D106" t="str">
            <v>0,4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-TBao1 (2)"/>
      <sheetName val="$-BB1 (2)"/>
      <sheetName val="4. GiaoQĐ-$"/>
      <sheetName val="$-Ds in QĐ"/>
      <sheetName val="$-BB1"/>
      <sheetName val="$-BC1"/>
      <sheetName val="$-TBao1"/>
      <sheetName val="@.DL-New "/>
      <sheetName val="%-BCcao2"/>
      <sheetName val="%-BBan2"/>
      <sheetName val="%-Ds QĐ2"/>
      <sheetName val="DsQĐ PC nhà giáo"/>
      <sheetName val="Giao QĐ - %"/>
      <sheetName val="Ds Huu+Thoi.."/>
      <sheetName val="TH số liệu"/>
      <sheetName val="- DLiêu Gốc -"/>
      <sheetName val="Sheet2"/>
      <sheetName val="CƠ CẤU"/>
      <sheetName val="@.DL-New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C1" t="str">
            <v>NGẠCH</v>
          </cell>
          <cell r="D1" t="str">
            <v>MÃ SỐ</v>
          </cell>
          <cell r="E1" t="str">
            <v>HS bậc 1</v>
          </cell>
          <cell r="F1" t="str">
            <v>BƯỚC</v>
          </cell>
          <cell r="G1" t="str">
            <v>LOẠI</v>
          </cell>
          <cell r="H1" t="str">
            <v>NHÓM</v>
          </cell>
        </row>
        <row r="2">
          <cell r="C2" t="str">
            <v>Giảng viên cao cấp (hạng I)</v>
          </cell>
          <cell r="D2" t="str">
            <v>V.07.01.01</v>
          </cell>
          <cell r="E2">
            <v>6.2</v>
          </cell>
          <cell r="F2">
            <v>0.36</v>
          </cell>
          <cell r="G2" t="str">
            <v>A3</v>
          </cell>
          <cell r="H2" t="str">
            <v>A3.1</v>
          </cell>
        </row>
        <row r="3">
          <cell r="C3" t="str">
            <v>Giảng viên chính (hạng II)</v>
          </cell>
          <cell r="D3" t="str">
            <v>V.07.01.02</v>
          </cell>
          <cell r="E3">
            <v>4.4000000000000004</v>
          </cell>
          <cell r="F3">
            <v>0.34</v>
          </cell>
          <cell r="G3" t="str">
            <v>A2</v>
          </cell>
          <cell r="H3" t="str">
            <v>A2.1</v>
          </cell>
        </row>
        <row r="4">
          <cell r="C4" t="str">
            <v>Giảng viên (hạng III)</v>
          </cell>
          <cell r="D4" t="str">
            <v>V.07.01.03</v>
          </cell>
          <cell r="E4">
            <v>2.34</v>
          </cell>
          <cell r="F4">
            <v>0.33</v>
          </cell>
          <cell r="G4" t="str">
            <v>A1</v>
          </cell>
          <cell r="H4" t="str">
            <v>- - -</v>
          </cell>
        </row>
        <row r="5">
          <cell r="C5" t="str">
            <v>Giảng viên chính</v>
          </cell>
          <cell r="D5" t="str">
            <v>15.110</v>
          </cell>
          <cell r="E5">
            <v>4.4000000000000004</v>
          </cell>
          <cell r="F5">
            <v>0.34</v>
          </cell>
          <cell r="G5" t="str">
            <v>A2</v>
          </cell>
          <cell r="H5" t="str">
            <v>A2.1</v>
          </cell>
        </row>
        <row r="6">
          <cell r="C6" t="str">
            <v xml:space="preserve">Giảng viên </v>
          </cell>
          <cell r="D6" t="str">
            <v>15.111</v>
          </cell>
          <cell r="E6">
            <v>2.34</v>
          </cell>
          <cell r="F6">
            <v>0.33</v>
          </cell>
          <cell r="G6" t="str">
            <v>A1</v>
          </cell>
          <cell r="H6" t="str">
            <v>- - -</v>
          </cell>
        </row>
        <row r="7">
          <cell r="C7" t="str">
            <v>Giáo viên trung học cao cấp</v>
          </cell>
          <cell r="D7" t="str">
            <v>15.112</v>
          </cell>
          <cell r="E7">
            <v>4</v>
          </cell>
          <cell r="F7">
            <v>0.34</v>
          </cell>
          <cell r="G7" t="str">
            <v>A2</v>
          </cell>
          <cell r="H7" t="str">
            <v>A2.2</v>
          </cell>
        </row>
        <row r="8">
          <cell r="C8" t="str">
            <v>Giáo viên trung học</v>
          </cell>
          <cell r="D8" t="str">
            <v>15.113</v>
          </cell>
          <cell r="E8">
            <v>2.34</v>
          </cell>
          <cell r="F8">
            <v>0.33</v>
          </cell>
          <cell r="G8" t="str">
            <v>A1</v>
          </cell>
          <cell r="H8" t="str">
            <v>- - -</v>
          </cell>
        </row>
        <row r="9">
          <cell r="C9" t="str">
            <v>Giáo viên trung học cơ sở chính</v>
          </cell>
          <cell r="D9" t="str">
            <v>15a.201</v>
          </cell>
          <cell r="E9">
            <v>2.34</v>
          </cell>
          <cell r="F9">
            <v>0.33</v>
          </cell>
          <cell r="G9" t="str">
            <v>A1</v>
          </cell>
          <cell r="H9" t="str">
            <v>- - -</v>
          </cell>
        </row>
        <row r="10">
          <cell r="C10" t="str">
            <v>Giáo viên trung học cơ sở</v>
          </cell>
          <cell r="D10" t="str">
            <v>15a.202</v>
          </cell>
          <cell r="E10">
            <v>2.1</v>
          </cell>
          <cell r="F10">
            <v>0.31</v>
          </cell>
          <cell r="G10" t="str">
            <v>A0</v>
          </cell>
          <cell r="H10" t="str">
            <v>- - -</v>
          </cell>
        </row>
        <row r="11">
          <cell r="C11" t="str">
            <v>Nghiên cứu viên cao cấp (hạng I)</v>
          </cell>
          <cell r="D11" t="str">
            <v>V.05.01.01</v>
          </cell>
          <cell r="E11">
            <v>6.2</v>
          </cell>
          <cell r="F11">
            <v>0.36</v>
          </cell>
          <cell r="G11" t="str">
            <v>A3</v>
          </cell>
          <cell r="H11" t="str">
            <v>A3.1</v>
          </cell>
        </row>
        <row r="12">
          <cell r="C12" t="str">
            <v>Nghiên cứu viên chính (hạng II)</v>
          </cell>
          <cell r="D12" t="str">
            <v>V.05.01.02</v>
          </cell>
          <cell r="E12">
            <v>4.4000000000000004</v>
          </cell>
          <cell r="F12">
            <v>0.34</v>
          </cell>
          <cell r="G12" t="str">
            <v>A2</v>
          </cell>
          <cell r="H12" t="str">
            <v>A2.1</v>
          </cell>
        </row>
        <row r="13">
          <cell r="C13" t="str">
            <v>Nghiên cứu viên (hạng III)</v>
          </cell>
          <cell r="D13" t="str">
            <v>V.05.01.03</v>
          </cell>
          <cell r="E13">
            <v>2.34</v>
          </cell>
          <cell r="F13">
            <v>0.33</v>
          </cell>
          <cell r="G13" t="str">
            <v>A1</v>
          </cell>
          <cell r="H13" t="str">
            <v>- - -</v>
          </cell>
        </row>
        <row r="14">
          <cell r="C14" t="str">
            <v>Chuyên viên cao cấp</v>
          </cell>
          <cell r="D14" t="str">
            <v>01.001</v>
          </cell>
          <cell r="E14">
            <v>6.2</v>
          </cell>
          <cell r="F14">
            <v>0.36</v>
          </cell>
          <cell r="G14" t="str">
            <v>A3</v>
          </cell>
          <cell r="H14" t="str">
            <v>A3.1</v>
          </cell>
        </row>
        <row r="15">
          <cell r="C15" t="str">
            <v>Chuyên viên chính</v>
          </cell>
          <cell r="D15" t="str">
            <v>01.002</v>
          </cell>
          <cell r="E15">
            <v>4.4000000000000004</v>
          </cell>
          <cell r="F15">
            <v>0.34</v>
          </cell>
          <cell r="G15" t="str">
            <v>A2</v>
          </cell>
          <cell r="H15" t="str">
            <v>A2.1</v>
          </cell>
        </row>
        <row r="16">
          <cell r="C16" t="str">
            <v>Chuyên viên</v>
          </cell>
          <cell r="D16" t="str">
            <v>01.003</v>
          </cell>
          <cell r="E16">
            <v>2.34</v>
          </cell>
          <cell r="F16">
            <v>0.33</v>
          </cell>
          <cell r="G16" t="str">
            <v>A1</v>
          </cell>
          <cell r="H16" t="str">
            <v>- - -</v>
          </cell>
        </row>
        <row r="17">
          <cell r="C17" t="str">
            <v>Chuyên viên (cao đẳng)</v>
          </cell>
          <cell r="D17" t="str">
            <v>01a.003</v>
          </cell>
          <cell r="E17">
            <v>2.1</v>
          </cell>
          <cell r="F17">
            <v>0.31</v>
          </cell>
          <cell r="G17" t="str">
            <v>A0</v>
          </cell>
          <cell r="H17" t="str">
            <v>- - -</v>
          </cell>
        </row>
        <row r="18">
          <cell r="C18" t="str">
            <v>Cán sự</v>
          </cell>
          <cell r="D18" t="str">
            <v>01.004</v>
          </cell>
          <cell r="E18">
            <v>1.86</v>
          </cell>
          <cell r="F18">
            <v>0.2</v>
          </cell>
          <cell r="G18" t="str">
            <v>B</v>
          </cell>
          <cell r="H18" t="str">
            <v>- - -</v>
          </cell>
        </row>
        <row r="19">
          <cell r="C19" t="str">
            <v>Thanh tra viên cao cấp</v>
          </cell>
          <cell r="D19" t="str">
            <v>04.023</v>
          </cell>
          <cell r="E19">
            <v>6.2</v>
          </cell>
          <cell r="F19">
            <v>0.36</v>
          </cell>
          <cell r="G19" t="str">
            <v>A3</v>
          </cell>
          <cell r="H19" t="str">
            <v>A3.1</v>
          </cell>
        </row>
        <row r="20">
          <cell r="C20" t="str">
            <v>Thanh tra viên chính</v>
          </cell>
          <cell r="D20" t="str">
            <v>04.024</v>
          </cell>
          <cell r="E20">
            <v>4.4000000000000004</v>
          </cell>
          <cell r="F20">
            <v>0.34</v>
          </cell>
          <cell r="G20" t="str">
            <v>A2</v>
          </cell>
          <cell r="H20" t="str">
            <v>A2.1</v>
          </cell>
        </row>
        <row r="21">
          <cell r="C21" t="str">
            <v>Thanh tra viên</v>
          </cell>
          <cell r="D21" t="str">
            <v>04.025</v>
          </cell>
          <cell r="E21">
            <v>2.34</v>
          </cell>
          <cell r="F21">
            <v>0.33</v>
          </cell>
          <cell r="G21" t="str">
            <v>A1</v>
          </cell>
          <cell r="H21" t="str">
            <v>- - -</v>
          </cell>
        </row>
        <row r="22">
          <cell r="C22" t="str">
            <v>Kiểm tra viên</v>
          </cell>
          <cell r="D22" t="str">
            <v>04,025A</v>
          </cell>
          <cell r="E22">
            <v>2.34</v>
          </cell>
          <cell r="F22">
            <v>0.33</v>
          </cell>
          <cell r="G22" t="str">
            <v>A1</v>
          </cell>
          <cell r="H22" t="str">
            <v>- - -</v>
          </cell>
        </row>
        <row r="23">
          <cell r="C23" t="str">
            <v>Thẩm tra viên</v>
          </cell>
          <cell r="D23" t="str">
            <v>03.230</v>
          </cell>
          <cell r="E23">
            <v>2.34</v>
          </cell>
          <cell r="F23">
            <v>0.33</v>
          </cell>
          <cell r="G23" t="str">
            <v>A1</v>
          </cell>
          <cell r="H23" t="str">
            <v>- - -</v>
          </cell>
        </row>
        <row r="24">
          <cell r="C24" t="str">
            <v>Thư viện viên hạng II</v>
          </cell>
          <cell r="D24" t="str">
            <v>V.10.02.05</v>
          </cell>
          <cell r="E24">
            <v>4</v>
          </cell>
          <cell r="F24">
            <v>0.34</v>
          </cell>
          <cell r="G24" t="str">
            <v>A2</v>
          </cell>
          <cell r="H24" t="str">
            <v>A2.2</v>
          </cell>
        </row>
        <row r="25">
          <cell r="C25" t="str">
            <v>Thư viện viên hạng III</v>
          </cell>
          <cell r="D25" t="str">
            <v>V.10.02.06</v>
          </cell>
          <cell r="E25">
            <v>2.34</v>
          </cell>
          <cell r="F25">
            <v>0.33</v>
          </cell>
          <cell r="G25" t="str">
            <v>A1</v>
          </cell>
          <cell r="H25" t="str">
            <v>- - -</v>
          </cell>
        </row>
        <row r="26">
          <cell r="C26" t="str">
            <v>Thư viện viên hạng IV</v>
          </cell>
          <cell r="D26" t="str">
            <v>V.10.02.07</v>
          </cell>
          <cell r="E26">
            <v>1.86</v>
          </cell>
          <cell r="F26">
            <v>0.2</v>
          </cell>
          <cell r="G26" t="str">
            <v>B</v>
          </cell>
          <cell r="H26" t="str">
            <v>- - -</v>
          </cell>
        </row>
        <row r="27">
          <cell r="C27" t="str">
            <v>Thư viện viên (cao đẳng)</v>
          </cell>
          <cell r="D27" t="str">
            <v>17a.170</v>
          </cell>
          <cell r="E27">
            <v>2.1</v>
          </cell>
          <cell r="F27">
            <v>0.31</v>
          </cell>
          <cell r="G27" t="str">
            <v>A0</v>
          </cell>
          <cell r="H27" t="str">
            <v>- - -</v>
          </cell>
        </row>
        <row r="28">
          <cell r="C28" t="str">
            <v>Kỹ sư cao cấp (hạng I)</v>
          </cell>
          <cell r="D28" t="str">
            <v>V.05.02.05</v>
          </cell>
          <cell r="E28">
            <v>6.2</v>
          </cell>
          <cell r="F28">
            <v>0.36</v>
          </cell>
          <cell r="G28" t="str">
            <v>A3</v>
          </cell>
          <cell r="H28" t="str">
            <v>A3.1</v>
          </cell>
        </row>
        <row r="29">
          <cell r="C29" t="str">
            <v>Kỹ sư chính (hạng II)</v>
          </cell>
          <cell r="D29" t="str">
            <v>V.05.02.06</v>
          </cell>
          <cell r="E29">
            <v>4.4000000000000004</v>
          </cell>
          <cell r="F29">
            <v>0.34</v>
          </cell>
          <cell r="G29" t="str">
            <v>A2</v>
          </cell>
          <cell r="H29" t="str">
            <v>A2.1</v>
          </cell>
        </row>
        <row r="30">
          <cell r="C30" t="str">
            <v>Kỹ sư (hạng III)</v>
          </cell>
          <cell r="D30" t="str">
            <v>V.05.02.07</v>
          </cell>
          <cell r="E30">
            <v>2.34</v>
          </cell>
          <cell r="F30">
            <v>0.33</v>
          </cell>
          <cell r="G30" t="str">
            <v>A1</v>
          </cell>
          <cell r="H30" t="str">
            <v>- - -</v>
          </cell>
        </row>
        <row r="31">
          <cell r="C31" t="str">
            <v>Kỹ thuật viên (hạng IV)</v>
          </cell>
          <cell r="D31" t="str">
            <v>V.05.02.08</v>
          </cell>
          <cell r="E31">
            <v>1.86</v>
          </cell>
          <cell r="F31">
            <v>0.2</v>
          </cell>
          <cell r="G31" t="str">
            <v>B</v>
          </cell>
          <cell r="H31" t="str">
            <v>- - -</v>
          </cell>
        </row>
        <row r="32">
          <cell r="C32" t="str">
            <v>Bác sĩ cao cấp (hạng I)</v>
          </cell>
          <cell r="D32" t="str">
            <v>V.08.01.01</v>
          </cell>
          <cell r="E32">
            <v>6.2</v>
          </cell>
          <cell r="F32">
            <v>0.36</v>
          </cell>
          <cell r="G32" t="str">
            <v>A3</v>
          </cell>
          <cell r="H32" t="str">
            <v>A3.1</v>
          </cell>
        </row>
        <row r="33">
          <cell r="C33" t="str">
            <v>Bác sĩ chính (hạng II)</v>
          </cell>
          <cell r="D33" t="str">
            <v>V.08.01.02</v>
          </cell>
          <cell r="E33">
            <v>4.4000000000000004</v>
          </cell>
          <cell r="F33">
            <v>0.34</v>
          </cell>
          <cell r="G33" t="str">
            <v>A2</v>
          </cell>
          <cell r="H33" t="str">
            <v>A2.1</v>
          </cell>
        </row>
        <row r="34">
          <cell r="C34" t="str">
            <v>Bác sĩ (hạng III)</v>
          </cell>
          <cell r="D34" t="str">
            <v>V.08.01.03</v>
          </cell>
          <cell r="E34">
            <v>2.34</v>
          </cell>
          <cell r="F34">
            <v>0.33</v>
          </cell>
          <cell r="G34" t="str">
            <v>A1</v>
          </cell>
          <cell r="H34" t="str">
            <v>- - -</v>
          </cell>
        </row>
        <row r="35">
          <cell r="C35" t="str">
            <v>Y sĩ (hạng IV)</v>
          </cell>
          <cell r="D35" t="str">
            <v>V.08.01.04</v>
          </cell>
          <cell r="E35">
            <v>1.86</v>
          </cell>
          <cell r="F35">
            <v>0.2</v>
          </cell>
          <cell r="G35" t="str">
            <v>B</v>
          </cell>
          <cell r="H35" t="str">
            <v>- - -</v>
          </cell>
        </row>
        <row r="36">
          <cell r="C36" t="str">
            <v>Biên tập viên hạng I</v>
          </cell>
          <cell r="D36" t="str">
            <v>V1.11.01.01</v>
          </cell>
          <cell r="E36">
            <v>6.2</v>
          </cell>
          <cell r="F36">
            <v>0.36</v>
          </cell>
          <cell r="G36" t="str">
            <v>A3</v>
          </cell>
          <cell r="H36" t="str">
            <v>A3.1</v>
          </cell>
        </row>
        <row r="37">
          <cell r="C37" t="str">
            <v>Biên tập viên hạng II</v>
          </cell>
          <cell r="D37" t="str">
            <v>V1.11.01.02</v>
          </cell>
          <cell r="E37">
            <v>4.4000000000000004</v>
          </cell>
          <cell r="F37">
            <v>0.34</v>
          </cell>
          <cell r="G37" t="str">
            <v>A2</v>
          </cell>
          <cell r="H37" t="str">
            <v>A2.1</v>
          </cell>
        </row>
        <row r="38">
          <cell r="C38" t="str">
            <v>Biên tập viên hạng III</v>
          </cell>
          <cell r="D38" t="str">
            <v>V1.11.01.03</v>
          </cell>
          <cell r="E38">
            <v>2.34</v>
          </cell>
          <cell r="F38">
            <v>0.33</v>
          </cell>
          <cell r="G38" t="str">
            <v>A1</v>
          </cell>
          <cell r="H38" t="str">
            <v>- - -</v>
          </cell>
        </row>
        <row r="39">
          <cell r="C39" t="str">
            <v>Phóng viên hạng I</v>
          </cell>
          <cell r="D39" t="str">
            <v>V1.11.01.04</v>
          </cell>
          <cell r="E39">
            <v>6.2</v>
          </cell>
          <cell r="F39">
            <v>0.36</v>
          </cell>
          <cell r="G39" t="str">
            <v>A3</v>
          </cell>
          <cell r="H39" t="str">
            <v>A3.1</v>
          </cell>
        </row>
        <row r="40">
          <cell r="C40" t="str">
            <v>Phóng viên hạng II</v>
          </cell>
          <cell r="D40" t="str">
            <v>V1.11.01.05</v>
          </cell>
          <cell r="E40">
            <v>4.4000000000000004</v>
          </cell>
          <cell r="F40">
            <v>0.34</v>
          </cell>
          <cell r="G40" t="str">
            <v>A2</v>
          </cell>
          <cell r="H40" t="str">
            <v>A2.1</v>
          </cell>
        </row>
        <row r="41">
          <cell r="C41" t="str">
            <v>Phóng viên hạng III</v>
          </cell>
          <cell r="D41" t="str">
            <v>V1.11.01.06</v>
          </cell>
          <cell r="E41">
            <v>2.34</v>
          </cell>
          <cell r="F41">
            <v>0.33</v>
          </cell>
          <cell r="G41" t="str">
            <v>A1</v>
          </cell>
          <cell r="H41" t="str">
            <v>- - -</v>
          </cell>
        </row>
        <row r="42">
          <cell r="C42" t="str">
            <v>Biên tập viên chính</v>
          </cell>
          <cell r="D42" t="str">
            <v>17.140</v>
          </cell>
          <cell r="E42">
            <v>4.4000000000000004</v>
          </cell>
          <cell r="F42">
            <v>0.34</v>
          </cell>
          <cell r="G42" t="str">
            <v>A2</v>
          </cell>
          <cell r="H42" t="str">
            <v>A2.1</v>
          </cell>
        </row>
        <row r="43">
          <cell r="C43" t="str">
            <v>Phóng viên chính</v>
          </cell>
          <cell r="D43" t="str">
            <v>17.143</v>
          </cell>
          <cell r="E43">
            <v>4.4000000000000004</v>
          </cell>
          <cell r="F43">
            <v>0.34</v>
          </cell>
          <cell r="G43" t="str">
            <v>A2</v>
          </cell>
          <cell r="H43" t="str">
            <v>A2.1</v>
          </cell>
        </row>
        <row r="44">
          <cell r="C44" t="str">
            <v>Kế toán viên cao cấp</v>
          </cell>
          <cell r="D44" t="str">
            <v>06.029</v>
          </cell>
          <cell r="E44">
            <v>5.75</v>
          </cell>
          <cell r="F44">
            <v>0.36</v>
          </cell>
          <cell r="G44" t="str">
            <v>A3</v>
          </cell>
          <cell r="H44" t="str">
            <v>A3.2</v>
          </cell>
        </row>
        <row r="45">
          <cell r="C45" t="str">
            <v>Kế toán viên chính</v>
          </cell>
          <cell r="D45" t="str">
            <v>06.030</v>
          </cell>
          <cell r="E45">
            <v>4</v>
          </cell>
          <cell r="F45">
            <v>0.34</v>
          </cell>
          <cell r="G45" t="str">
            <v>A2</v>
          </cell>
          <cell r="H45" t="str">
            <v>A2.2</v>
          </cell>
        </row>
        <row r="46">
          <cell r="C46" t="str">
            <v>Kế toán viên</v>
          </cell>
          <cell r="D46" t="str">
            <v>06.031</v>
          </cell>
          <cell r="E46">
            <v>2.34</v>
          </cell>
          <cell r="F46">
            <v>0.33</v>
          </cell>
          <cell r="G46" t="str">
            <v>A1</v>
          </cell>
          <cell r="H46" t="str">
            <v>- - -</v>
          </cell>
        </row>
        <row r="47">
          <cell r="C47" t="str">
            <v>Kế toán viên (cao đẳng)</v>
          </cell>
          <cell r="D47" t="str">
            <v>06a.031</v>
          </cell>
          <cell r="E47">
            <v>2.1</v>
          </cell>
          <cell r="F47">
            <v>0.31</v>
          </cell>
          <cell r="G47" t="str">
            <v>A0</v>
          </cell>
          <cell r="H47" t="str">
            <v>- - -</v>
          </cell>
        </row>
        <row r="48">
          <cell r="C48" t="str">
            <v>Kế toán viên trung cấp</v>
          </cell>
          <cell r="D48" t="str">
            <v>06.032</v>
          </cell>
          <cell r="E48">
            <v>1.86</v>
          </cell>
          <cell r="F48">
            <v>0.2</v>
          </cell>
          <cell r="G48" t="str">
            <v>B</v>
          </cell>
          <cell r="H48" t="str">
            <v>- - -</v>
          </cell>
        </row>
        <row r="49">
          <cell r="C49" t="str">
            <v>Lưu trữ viên</v>
          </cell>
          <cell r="D49" t="str">
            <v>02.014</v>
          </cell>
          <cell r="E49">
            <v>2.34</v>
          </cell>
          <cell r="F49">
            <v>0.33</v>
          </cell>
          <cell r="G49" t="str">
            <v>A1</v>
          </cell>
          <cell r="H49" t="str">
            <v>- - -</v>
          </cell>
        </row>
        <row r="50">
          <cell r="C50" t="str">
            <v>Lưu trữ viên (cao đẳng)</v>
          </cell>
          <cell r="D50" t="str">
            <v>02a.014</v>
          </cell>
          <cell r="E50">
            <v>2.1</v>
          </cell>
          <cell r="F50">
            <v>0.31</v>
          </cell>
          <cell r="G50" t="str">
            <v>A0</v>
          </cell>
          <cell r="H50" t="str">
            <v>- - -</v>
          </cell>
        </row>
        <row r="51">
          <cell r="C51" t="str">
            <v>Lưu trữ viên trung cấp</v>
          </cell>
          <cell r="D51" t="str">
            <v>02.015</v>
          </cell>
          <cell r="E51">
            <v>1.86</v>
          </cell>
          <cell r="F51">
            <v>0.2</v>
          </cell>
          <cell r="G51" t="str">
            <v>B</v>
          </cell>
          <cell r="H51" t="str">
            <v>- - -</v>
          </cell>
        </row>
        <row r="52">
          <cell r="C52" t="str">
            <v>Kỹ Thuật viên đánh máy</v>
          </cell>
          <cell r="D52" t="str">
            <v>01.005</v>
          </cell>
          <cell r="E52">
            <v>2.0499999999999998</v>
          </cell>
          <cell r="F52">
            <v>0.18</v>
          </cell>
          <cell r="G52" t="str">
            <v>C</v>
          </cell>
          <cell r="H52" t="str">
            <v>Nhân viên</v>
          </cell>
        </row>
        <row r="53">
          <cell r="C53" t="str">
            <v>Nhân viên đánh máy</v>
          </cell>
          <cell r="D53" t="str">
            <v>01.006</v>
          </cell>
          <cell r="E53">
            <v>1.5</v>
          </cell>
          <cell r="F53">
            <v>0.18</v>
          </cell>
          <cell r="G53" t="str">
            <v>C</v>
          </cell>
          <cell r="H53" t="str">
            <v>Nhân viên</v>
          </cell>
        </row>
        <row r="54">
          <cell r="C54" t="str">
            <v>Nhân viên kỹ thuật</v>
          </cell>
          <cell r="D54" t="str">
            <v>01.007</v>
          </cell>
          <cell r="E54">
            <v>1.65</v>
          </cell>
          <cell r="F54">
            <v>0.18</v>
          </cell>
          <cell r="G54" t="str">
            <v>C</v>
          </cell>
          <cell r="H54" t="str">
            <v>Nhân viên</v>
          </cell>
        </row>
        <row r="55">
          <cell r="C55" t="str">
            <v>Nhân viên văn thư</v>
          </cell>
          <cell r="D55" t="str">
            <v>01.008</v>
          </cell>
          <cell r="E55">
            <v>1.35</v>
          </cell>
          <cell r="F55">
            <v>0.18</v>
          </cell>
          <cell r="G55" t="str">
            <v>C</v>
          </cell>
          <cell r="H55" t="str">
            <v>Nhân viên</v>
          </cell>
        </row>
        <row r="56">
          <cell r="C56" t="str">
            <v>Nhân viên phục vụ</v>
          </cell>
          <cell r="D56" t="str">
            <v>01.009</v>
          </cell>
          <cell r="E56">
            <v>1</v>
          </cell>
          <cell r="F56">
            <v>0.18</v>
          </cell>
          <cell r="G56" t="str">
            <v>C</v>
          </cell>
          <cell r="H56" t="str">
            <v>Nhân viên</v>
          </cell>
        </row>
        <row r="57">
          <cell r="C57" t="str">
            <v>Lái xe cơ quan</v>
          </cell>
          <cell r="D57" t="str">
            <v>01.010</v>
          </cell>
          <cell r="E57">
            <v>2.0499999999999998</v>
          </cell>
          <cell r="F57">
            <v>0.18</v>
          </cell>
          <cell r="G57" t="str">
            <v>C</v>
          </cell>
          <cell r="H57" t="str">
            <v>Nhân viên</v>
          </cell>
        </row>
        <row r="58">
          <cell r="C58" t="str">
            <v>Nhân viên bảo vệ</v>
          </cell>
          <cell r="D58" t="str">
            <v>01.011</v>
          </cell>
          <cell r="E58">
            <v>1.5</v>
          </cell>
          <cell r="F58">
            <v>0.18</v>
          </cell>
          <cell r="G58" t="str">
            <v>C</v>
          </cell>
          <cell r="H58" t="str">
            <v>Nhân viên</v>
          </cell>
        </row>
        <row r="59">
          <cell r="C59" t="str">
            <v>Thủ kho bảo quản</v>
          </cell>
          <cell r="D59" t="str">
            <v>19.185</v>
          </cell>
          <cell r="E59">
            <v>1.65</v>
          </cell>
          <cell r="F59">
            <v>0.18</v>
          </cell>
          <cell r="G59" t="str">
            <v>C</v>
          </cell>
          <cell r="H59" t="str">
            <v>Nhân viên</v>
          </cell>
        </row>
        <row r="60">
          <cell r="C60" t="str">
            <v>Thủ quỹ</v>
          </cell>
          <cell r="D60" t="str">
            <v>06.035</v>
          </cell>
          <cell r="E60">
            <v>1.5</v>
          </cell>
          <cell r="F60">
            <v>0.18</v>
          </cell>
          <cell r="G60" t="str">
            <v>C</v>
          </cell>
          <cell r="H60" t="str">
            <v>Nhân viên</v>
          </cell>
        </row>
        <row r="62">
          <cell r="C62" t="str">
            <v>CHỨC VỤ</v>
          </cell>
          <cell r="D62" t="str">
            <v>PC CV</v>
          </cell>
        </row>
        <row r="63">
          <cell r="C63" t="str">
            <v>Giám đốc Học viện</v>
          </cell>
          <cell r="D63">
            <v>1.25</v>
          </cell>
        </row>
        <row r="64">
          <cell r="C64" t="str">
            <v>Phó Giám đốc Học viện</v>
          </cell>
          <cell r="D64">
            <v>1.1000000000000001</v>
          </cell>
        </row>
        <row r="65">
          <cell r="C65" t="str">
            <v>Nguyên Phó Giám đốc Học viện</v>
          </cell>
          <cell r="D65">
            <v>1.1000000000000001</v>
          </cell>
        </row>
        <row r="66">
          <cell r="C66" t="str">
            <v>Trưởng khoa</v>
          </cell>
          <cell r="D66">
            <v>1</v>
          </cell>
        </row>
        <row r="67">
          <cell r="C67" t="str">
            <v>Nguyên Trưởng khoa</v>
          </cell>
          <cell r="D67">
            <v>1</v>
          </cell>
        </row>
        <row r="68">
          <cell r="C68" t="str">
            <v>Q. Trưởng khoa</v>
          </cell>
          <cell r="D68">
            <v>1</v>
          </cell>
        </row>
        <row r="69">
          <cell r="C69" t="str">
            <v>Nguyên Q. Trưởng khoa</v>
          </cell>
          <cell r="D69">
            <v>1</v>
          </cell>
        </row>
        <row r="70">
          <cell r="C70" t="str">
            <v>Giám đốc phân viện</v>
          </cell>
          <cell r="D70">
            <v>1</v>
          </cell>
        </row>
        <row r="71">
          <cell r="C71" t="str">
            <v>Trưởng ban</v>
          </cell>
          <cell r="D71">
            <v>1</v>
          </cell>
        </row>
        <row r="72">
          <cell r="C72" t="str">
            <v>Nguyên Trưởng ban</v>
          </cell>
          <cell r="D72">
            <v>1</v>
          </cell>
        </row>
        <row r="73">
          <cell r="C73" t="str">
            <v>Tổng Biên tập</v>
          </cell>
          <cell r="D73">
            <v>1</v>
          </cell>
        </row>
        <row r="74">
          <cell r="C74" t="str">
            <v>Viện Trưởng</v>
          </cell>
          <cell r="D74">
            <v>1</v>
          </cell>
        </row>
        <row r="75">
          <cell r="C75" t="str">
            <v>Nguyên Viện Trưởng</v>
          </cell>
          <cell r="D75">
            <v>1</v>
          </cell>
        </row>
        <row r="76">
          <cell r="C76" t="str">
            <v>Giám đốc (cấp vụ)</v>
          </cell>
          <cell r="D76">
            <v>1</v>
          </cell>
        </row>
        <row r="77">
          <cell r="C77" t="str">
            <v>Chánh Văn phòng</v>
          </cell>
          <cell r="D77">
            <v>1</v>
          </cell>
        </row>
        <row r="78">
          <cell r="C78" t="str">
            <v>Phó Trưởng khoa</v>
          </cell>
          <cell r="D78">
            <v>0.8</v>
          </cell>
        </row>
        <row r="79">
          <cell r="C79" t="str">
            <v>Nguyên Phó Trưởng khoa</v>
          </cell>
          <cell r="D79">
            <v>0.8</v>
          </cell>
        </row>
        <row r="80">
          <cell r="C80" t="str">
            <v>Phó Trưởng ban</v>
          </cell>
          <cell r="D80">
            <v>0.8</v>
          </cell>
        </row>
        <row r="81">
          <cell r="C81" t="str">
            <v>Phó Trưởng ban (PT)</v>
          </cell>
          <cell r="D81">
            <v>0.8</v>
          </cell>
        </row>
        <row r="82">
          <cell r="C82" t="str">
            <v>Nguyên Phó Trưởng ban</v>
          </cell>
          <cell r="D82">
            <v>0.8</v>
          </cell>
        </row>
        <row r="83">
          <cell r="C83" t="str">
            <v>Phó Tổng biên tập</v>
          </cell>
          <cell r="D83">
            <v>0.8</v>
          </cell>
        </row>
        <row r="84">
          <cell r="C84" t="str">
            <v>Phó Viện trưởng</v>
          </cell>
          <cell r="D84">
            <v>0.8</v>
          </cell>
        </row>
        <row r="85">
          <cell r="C85" t="str">
            <v>Nguyên Phó Viện trưởng</v>
          </cell>
          <cell r="D85">
            <v>0.8</v>
          </cell>
        </row>
        <row r="86">
          <cell r="C86" t="str">
            <v>Phó Giám đốc (cấp vụ)</v>
          </cell>
          <cell r="D86">
            <v>0.8</v>
          </cell>
        </row>
        <row r="87">
          <cell r="C87" t="str">
            <v>Phó Chánh Văn phòng</v>
          </cell>
          <cell r="D87">
            <v>0.8</v>
          </cell>
        </row>
        <row r="88">
          <cell r="C88" t="str">
            <v>Giám đốc (cấp phòng)</v>
          </cell>
          <cell r="D88">
            <v>0.6</v>
          </cell>
        </row>
        <row r="89">
          <cell r="C89" t="str">
            <v>Chánh Văn phòng (cấp phòng)</v>
          </cell>
          <cell r="D89">
            <v>0.6</v>
          </cell>
        </row>
        <row r="90">
          <cell r="C90" t="str">
            <v>Trưởng khoa (cấp phòng)</v>
          </cell>
          <cell r="D90">
            <v>0.6</v>
          </cell>
        </row>
        <row r="91">
          <cell r="C91" t="str">
            <v>Trưởng phòng</v>
          </cell>
          <cell r="D91">
            <v>0.6</v>
          </cell>
        </row>
        <row r="92">
          <cell r="C92" t="str">
            <v>Q. Trưởng phòng</v>
          </cell>
          <cell r="D92">
            <v>0.6</v>
          </cell>
        </row>
        <row r="93">
          <cell r="C93" t="str">
            <v>Trưởng bộ môn</v>
          </cell>
          <cell r="D93">
            <v>0.6</v>
          </cell>
        </row>
        <row r="94">
          <cell r="C94" t="str">
            <v>Nguyên Trưởng bộ môn</v>
          </cell>
          <cell r="D94">
            <v>0.6</v>
          </cell>
        </row>
        <row r="95">
          <cell r="C95" t="str">
            <v>Trưởng ban (cấp phòng)</v>
          </cell>
          <cell r="D95">
            <v>0.6</v>
          </cell>
        </row>
        <row r="96">
          <cell r="C96" t="str">
            <v>Chủ nhiệm (cấp phòng)</v>
          </cell>
          <cell r="D96">
            <v>0.6</v>
          </cell>
        </row>
        <row r="97">
          <cell r="C97" t="str">
            <v>Đội Trưởng (cấp phòng)</v>
          </cell>
          <cell r="D97">
            <v>0.6</v>
          </cell>
        </row>
        <row r="98">
          <cell r="C98" t="str">
            <v>Phó Trưởng phòng</v>
          </cell>
          <cell r="D98">
            <v>0.4</v>
          </cell>
        </row>
        <row r="99">
          <cell r="C99" t="str">
            <v>Phó Trưởng phòng (PT)</v>
          </cell>
          <cell r="D99">
            <v>0.4</v>
          </cell>
        </row>
        <row r="100">
          <cell r="C100" t="str">
            <v>Phó Trưởng bộ môn</v>
          </cell>
          <cell r="D100">
            <v>0.4</v>
          </cell>
        </row>
        <row r="101">
          <cell r="C101" t="str">
            <v>Nguyên Phó Trưởng bộ môn</v>
          </cell>
          <cell r="D101">
            <v>0.4</v>
          </cell>
        </row>
        <row r="102">
          <cell r="C102" t="str">
            <v>Phó Trưởng ban (cấp phòng)</v>
          </cell>
          <cell r="D102">
            <v>0.4</v>
          </cell>
        </row>
        <row r="103">
          <cell r="C103" t="str">
            <v>Phó Trưởng ban (cấp phòng)</v>
          </cell>
          <cell r="D103">
            <v>0.4</v>
          </cell>
        </row>
        <row r="104">
          <cell r="C104" t="str">
            <v>Phó Chủ nhiệm (cấp phòng)</v>
          </cell>
          <cell r="D104">
            <v>0.4</v>
          </cell>
        </row>
        <row r="105">
          <cell r="C105" t="str">
            <v>Phó Giám đốc (cấp phòng)</v>
          </cell>
          <cell r="D105">
            <v>0.4</v>
          </cell>
        </row>
        <row r="106">
          <cell r="C106" t="str">
            <v>Phó Chánh Văn phòng (cấp phòng)</v>
          </cell>
          <cell r="D106">
            <v>0.4</v>
          </cell>
        </row>
        <row r="107">
          <cell r="C107" t="str">
            <v>Đội Phó (cấp phòng)</v>
          </cell>
          <cell r="D107">
            <v>0.4</v>
          </cell>
        </row>
        <row r="115">
          <cell r="C115" t="str">
            <v>Bác sĩ cao cấp</v>
          </cell>
          <cell r="D115" t="str">
            <v>16.116</v>
          </cell>
          <cell r="E115">
            <v>6.2</v>
          </cell>
          <cell r="F115">
            <v>0.36</v>
          </cell>
          <cell r="G115" t="str">
            <v>A3</v>
          </cell>
          <cell r="H115" t="str">
            <v>A3.1</v>
          </cell>
        </row>
        <row r="116">
          <cell r="C116" t="str">
            <v>Bác sĩ chính</v>
          </cell>
          <cell r="D116" t="str">
            <v xml:space="preserve"> </v>
          </cell>
          <cell r="E116">
            <v>4.4000000000000004</v>
          </cell>
          <cell r="F116">
            <v>0.34</v>
          </cell>
          <cell r="G116" t="str">
            <v>A2</v>
          </cell>
          <cell r="H116" t="str">
            <v>A2.1</v>
          </cell>
        </row>
        <row r="117">
          <cell r="C117" t="str">
            <v>Bác sĩ</v>
          </cell>
          <cell r="D117" t="str">
            <v>16.118</v>
          </cell>
          <cell r="E117">
            <v>2.34</v>
          </cell>
          <cell r="F117">
            <v>0.33</v>
          </cell>
          <cell r="G117" t="str">
            <v>A1</v>
          </cell>
          <cell r="H117" t="str">
            <v>- - -</v>
          </cell>
        </row>
        <row r="118">
          <cell r="C118" t="str">
            <v>Y sĩ</v>
          </cell>
          <cell r="D118" t="str">
            <v>16.119</v>
          </cell>
          <cell r="E118">
            <v>1.86</v>
          </cell>
          <cell r="F118">
            <v>0.2</v>
          </cell>
          <cell r="G118" t="str">
            <v>B</v>
          </cell>
          <cell r="H118" t="str">
            <v>- - -</v>
          </cell>
        </row>
        <row r="119">
          <cell r="C119" t="str">
            <v>Biên tập viên cao cấp</v>
          </cell>
          <cell r="D119" t="str">
            <v>17.139</v>
          </cell>
          <cell r="E119">
            <v>6.2</v>
          </cell>
          <cell r="F119">
            <v>0.36</v>
          </cell>
          <cell r="G119" t="str">
            <v>A3</v>
          </cell>
          <cell r="H119" t="str">
            <v>A3.1</v>
          </cell>
        </row>
        <row r="120">
          <cell r="C120" t="str">
            <v>Biên tập viên</v>
          </cell>
          <cell r="D120" t="str">
            <v>17.141</v>
          </cell>
          <cell r="E120">
            <v>2.34</v>
          </cell>
          <cell r="F120">
            <v>0.33</v>
          </cell>
          <cell r="G120" t="str">
            <v>A1</v>
          </cell>
          <cell r="H120" t="str">
            <v>- - -</v>
          </cell>
        </row>
        <row r="121">
          <cell r="C121" t="str">
            <v>Phóng viên cao cấp</v>
          </cell>
          <cell r="D121" t="str">
            <v>17.142</v>
          </cell>
          <cell r="E121">
            <v>6.2</v>
          </cell>
          <cell r="F121">
            <v>0.36</v>
          </cell>
          <cell r="G121" t="str">
            <v>A3</v>
          </cell>
          <cell r="H121" t="str">
            <v>A3.1</v>
          </cell>
        </row>
        <row r="122">
          <cell r="C122" t="str">
            <v>Phóng viên</v>
          </cell>
          <cell r="D122" t="str">
            <v>17.144</v>
          </cell>
          <cell r="E122">
            <v>2.34</v>
          </cell>
          <cell r="F122">
            <v>0.33</v>
          </cell>
          <cell r="G122" t="str">
            <v>A1</v>
          </cell>
          <cell r="H122" t="str">
            <v>- - -</v>
          </cell>
        </row>
        <row r="124">
          <cell r="C124" t="str">
            <v>Thư viện viên chính</v>
          </cell>
          <cell r="D124" t="str">
            <v>17.169</v>
          </cell>
          <cell r="E124">
            <v>4</v>
          </cell>
          <cell r="F124">
            <v>0.34</v>
          </cell>
          <cell r="G124" t="str">
            <v>A2</v>
          </cell>
          <cell r="H124" t="str">
            <v>A2.2</v>
          </cell>
        </row>
        <row r="125">
          <cell r="C125" t="str">
            <v>Thư viện viên</v>
          </cell>
          <cell r="D125" t="str">
            <v>17.170</v>
          </cell>
          <cell r="E125">
            <v>2.34</v>
          </cell>
          <cell r="F125">
            <v>0.33</v>
          </cell>
          <cell r="G125" t="str">
            <v>A1</v>
          </cell>
          <cell r="H125" t="str">
            <v>- - -</v>
          </cell>
        </row>
        <row r="126">
          <cell r="C126" t="str">
            <v>Thư viện viên trung cấp</v>
          </cell>
          <cell r="D126" t="str">
            <v>17.171</v>
          </cell>
          <cell r="E126">
            <v>1.86</v>
          </cell>
          <cell r="F126">
            <v>0.2</v>
          </cell>
          <cell r="G126" t="str">
            <v>B</v>
          </cell>
          <cell r="H126" t="str">
            <v>- - -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@ DL (2)"/>
      <sheetName val="4.GiaoQĐ-$"/>
      <sheetName val="QĐ=$"/>
      <sheetName val="TTr=$"/>
      <sheetName val="TB=$ "/>
      <sheetName val="@@ DL"/>
      <sheetName val="TB--%"/>
      <sheetName val="TTr--%"/>
      <sheetName val="QĐ - %"/>
      <sheetName val="Giao QĐ - %"/>
      <sheetName val="DS Hưu 2015"/>
      <sheetName val="TH số liệu"/>
      <sheetName val="CƠ CẤU"/>
      <sheetName val="- DLiêu Gốc -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</row>
        <row r="2">
          <cell r="B2" t="str">
            <v>Giảng viên cao cấp</v>
          </cell>
          <cell r="C2" t="str">
            <v>15.109</v>
          </cell>
          <cell r="D2">
            <v>6.2</v>
          </cell>
          <cell r="E2">
            <v>0.36</v>
          </cell>
          <cell r="F2" t="str">
            <v>A3</v>
          </cell>
          <cell r="G2" t="str">
            <v>A3.1</v>
          </cell>
        </row>
        <row r="3">
          <cell r="B3" t="str">
            <v>Giảng viên chính</v>
          </cell>
          <cell r="C3" t="str">
            <v>15.110</v>
          </cell>
          <cell r="D3">
            <v>4.4000000000000004</v>
          </cell>
          <cell r="E3">
            <v>0.34</v>
          </cell>
          <cell r="F3" t="str">
            <v>A2</v>
          </cell>
          <cell r="G3" t="str">
            <v>A2.1</v>
          </cell>
        </row>
        <row r="4">
          <cell r="B4" t="str">
            <v>Giảng viên</v>
          </cell>
          <cell r="C4" t="str">
            <v>15.111</v>
          </cell>
          <cell r="D4">
            <v>2.34</v>
          </cell>
          <cell r="E4">
            <v>0.33</v>
          </cell>
          <cell r="F4" t="str">
            <v>A1</v>
          </cell>
          <cell r="G4" t="str">
            <v>- - -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  <cell r="F5" t="str">
            <v>A2</v>
          </cell>
          <cell r="G5" t="str">
            <v>A2.2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  <cell r="F6" t="str">
            <v>A1</v>
          </cell>
          <cell r="G6" t="str">
            <v>- - -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  <cell r="F7" t="str">
            <v>A1</v>
          </cell>
          <cell r="G7" t="str">
            <v>- - -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  <cell r="F8" t="str">
            <v>A0</v>
          </cell>
          <cell r="G8" t="str">
            <v>- - -</v>
          </cell>
        </row>
        <row r="9">
          <cell r="B9" t="str">
            <v>Nghiên cứu viên cao cấp</v>
          </cell>
          <cell r="C9" t="str">
            <v>13.090</v>
          </cell>
          <cell r="D9">
            <v>6.2</v>
          </cell>
          <cell r="E9">
            <v>0.36</v>
          </cell>
          <cell r="F9" t="str">
            <v>A3</v>
          </cell>
          <cell r="G9" t="str">
            <v>A3.1</v>
          </cell>
        </row>
        <row r="10">
          <cell r="B10" t="str">
            <v>Nghiên cứu viên chính</v>
          </cell>
          <cell r="C10" t="str">
            <v>13.091</v>
          </cell>
          <cell r="D10">
            <v>4.4000000000000004</v>
          </cell>
          <cell r="E10">
            <v>0.34</v>
          </cell>
          <cell r="F10" t="str">
            <v>A2</v>
          </cell>
          <cell r="G10" t="str">
            <v>A2.1</v>
          </cell>
        </row>
        <row r="11">
          <cell r="B11" t="str">
            <v>Nghiên cứu viên</v>
          </cell>
          <cell r="C11" t="str">
            <v>13.092</v>
          </cell>
          <cell r="D11">
            <v>2.34</v>
          </cell>
          <cell r="E11">
            <v>0.33</v>
          </cell>
          <cell r="F11" t="str">
            <v>A1</v>
          </cell>
          <cell r="G11" t="str">
            <v>- - -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  <cell r="F12" t="str">
            <v>A3</v>
          </cell>
          <cell r="G12" t="str">
            <v>A3.1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  <cell r="F13" t="str">
            <v>A2</v>
          </cell>
          <cell r="G13" t="str">
            <v>A2.1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  <cell r="F14" t="str">
            <v>A1</v>
          </cell>
          <cell r="G14" t="str">
            <v>- - -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  <cell r="F15" t="str">
            <v>A0</v>
          </cell>
          <cell r="G15" t="str">
            <v>- - -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  <cell r="F16" t="str">
            <v>B</v>
          </cell>
          <cell r="G16" t="str">
            <v>- - -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  <cell r="F17" t="str">
            <v>A3</v>
          </cell>
          <cell r="G17" t="str">
            <v>A3.1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  <cell r="F18" t="str">
            <v>A2</v>
          </cell>
          <cell r="G18" t="str">
            <v>A2.1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  <cell r="F19" t="str">
            <v>A1</v>
          </cell>
          <cell r="G19" t="str">
            <v>- - -</v>
          </cell>
        </row>
        <row r="20">
          <cell r="B20" t="str">
            <v>Thẩm tra viên</v>
          </cell>
          <cell r="C20" t="str">
            <v>03.230</v>
          </cell>
          <cell r="D20">
            <v>2.34</v>
          </cell>
          <cell r="E20">
            <v>0.33</v>
          </cell>
          <cell r="F20" t="str">
            <v>A1</v>
          </cell>
          <cell r="G20" t="str">
            <v>- - -</v>
          </cell>
        </row>
        <row r="21">
          <cell r="B21" t="str">
            <v>Thư viện viên cao cấp</v>
          </cell>
          <cell r="C21" t="str">
            <v>17.168</v>
          </cell>
          <cell r="D21">
            <v>5.75</v>
          </cell>
          <cell r="E21">
            <v>0.36</v>
          </cell>
          <cell r="F21" t="str">
            <v>A3</v>
          </cell>
          <cell r="G21" t="str">
            <v>A3.2</v>
          </cell>
        </row>
        <row r="22">
          <cell r="B22" t="str">
            <v>Thư viện viên chính</v>
          </cell>
          <cell r="C22" t="str">
            <v>17.169</v>
          </cell>
          <cell r="D22">
            <v>4</v>
          </cell>
          <cell r="E22">
            <v>0.34</v>
          </cell>
          <cell r="F22" t="str">
            <v>A2</v>
          </cell>
          <cell r="G22" t="str">
            <v>A2.2</v>
          </cell>
        </row>
        <row r="23">
          <cell r="B23" t="str">
            <v>Thư viện viên</v>
          </cell>
          <cell r="C23" t="str">
            <v>17.170</v>
          </cell>
          <cell r="D23">
            <v>2.34</v>
          </cell>
          <cell r="E23">
            <v>0.33</v>
          </cell>
          <cell r="F23" t="str">
            <v>A1</v>
          </cell>
          <cell r="G23" t="str">
            <v>- - -</v>
          </cell>
        </row>
        <row r="24">
          <cell r="B24" t="str">
            <v>Thư viện viên (cao đẳng)</v>
          </cell>
          <cell r="C24" t="str">
            <v>17a.170</v>
          </cell>
          <cell r="D24">
            <v>2.1</v>
          </cell>
          <cell r="E24">
            <v>0.31</v>
          </cell>
          <cell r="F24" t="str">
            <v>A0</v>
          </cell>
          <cell r="G24" t="str">
            <v>- - -</v>
          </cell>
        </row>
        <row r="25">
          <cell r="B25" t="str">
            <v>Thư viện viên trung cấp</v>
          </cell>
          <cell r="C25" t="str">
            <v>17.171</v>
          </cell>
          <cell r="D25">
            <v>1.86</v>
          </cell>
          <cell r="E25">
            <v>0.2</v>
          </cell>
          <cell r="F25" t="str">
            <v>B</v>
          </cell>
          <cell r="G25" t="str">
            <v>- - -</v>
          </cell>
        </row>
        <row r="26">
          <cell r="B26" t="str">
            <v>Kỹ sư cao cấp</v>
          </cell>
          <cell r="C26" t="str">
            <v>13.093</v>
          </cell>
          <cell r="D26">
            <v>6.2</v>
          </cell>
          <cell r="E26">
            <v>0.36</v>
          </cell>
          <cell r="F26" t="str">
            <v>A3</v>
          </cell>
          <cell r="G26" t="str">
            <v>A3.1</v>
          </cell>
        </row>
        <row r="27">
          <cell r="B27" t="str">
            <v>Kỹ sư chính</v>
          </cell>
          <cell r="C27" t="str">
            <v>13.094</v>
          </cell>
          <cell r="D27">
            <v>4.4000000000000004</v>
          </cell>
          <cell r="E27">
            <v>0.34</v>
          </cell>
          <cell r="F27" t="str">
            <v>A2</v>
          </cell>
          <cell r="G27" t="str">
            <v>A2.1</v>
          </cell>
        </row>
        <row r="28">
          <cell r="B28" t="str">
            <v>Kỹ sư</v>
          </cell>
          <cell r="C28" t="str">
            <v>13.095</v>
          </cell>
          <cell r="D28">
            <v>2.34</v>
          </cell>
          <cell r="E28">
            <v>0.33</v>
          </cell>
          <cell r="F28" t="str">
            <v>A1</v>
          </cell>
          <cell r="G28" t="str">
            <v>- - -</v>
          </cell>
        </row>
        <row r="29">
          <cell r="B29" t="str">
            <v>Kỹ thuật viên</v>
          </cell>
          <cell r="C29" t="str">
            <v>13.096</v>
          </cell>
          <cell r="D29">
            <v>1.86</v>
          </cell>
          <cell r="E29">
            <v>0.2</v>
          </cell>
          <cell r="F29" t="str">
            <v>B</v>
          </cell>
          <cell r="G29" t="str">
            <v>- - -</v>
          </cell>
        </row>
        <row r="30">
          <cell r="B30" t="str">
            <v>Bác sỹ cao cấp</v>
          </cell>
          <cell r="C30" t="str">
            <v>16.116</v>
          </cell>
          <cell r="D30">
            <v>6.2</v>
          </cell>
          <cell r="E30">
            <v>0.36</v>
          </cell>
          <cell r="F30" t="str">
            <v>A3</v>
          </cell>
          <cell r="G30" t="str">
            <v>A3.1</v>
          </cell>
        </row>
        <row r="31">
          <cell r="B31" t="str">
            <v>Bác sỹ chính</v>
          </cell>
          <cell r="C31" t="str">
            <v>16.117</v>
          </cell>
          <cell r="D31">
            <v>4.4000000000000004</v>
          </cell>
          <cell r="E31">
            <v>0.34</v>
          </cell>
          <cell r="F31" t="str">
            <v>A2</v>
          </cell>
          <cell r="G31" t="str">
            <v>A2.1</v>
          </cell>
        </row>
        <row r="32">
          <cell r="B32" t="str">
            <v>Bác sỹ</v>
          </cell>
          <cell r="C32" t="str">
            <v>16.118</v>
          </cell>
          <cell r="D32">
            <v>2.34</v>
          </cell>
          <cell r="E32">
            <v>0.33</v>
          </cell>
          <cell r="F32" t="str">
            <v>A1</v>
          </cell>
          <cell r="G32" t="str">
            <v>- - -</v>
          </cell>
        </row>
        <row r="33">
          <cell r="B33" t="str">
            <v>Y sỹ</v>
          </cell>
          <cell r="C33" t="str">
            <v>16.119</v>
          </cell>
          <cell r="D33">
            <v>1.86</v>
          </cell>
          <cell r="E33">
            <v>0.2</v>
          </cell>
          <cell r="F33" t="str">
            <v>B</v>
          </cell>
          <cell r="G33" t="str">
            <v>- - -</v>
          </cell>
        </row>
        <row r="34">
          <cell r="B34" t="str">
            <v>Biên tập viên cao cấp</v>
          </cell>
          <cell r="C34" t="str">
            <v>17.139</v>
          </cell>
          <cell r="D34">
            <v>6.2</v>
          </cell>
          <cell r="E34">
            <v>0.36</v>
          </cell>
          <cell r="F34" t="str">
            <v>A3</v>
          </cell>
          <cell r="G34" t="str">
            <v>A3.1</v>
          </cell>
        </row>
        <row r="35">
          <cell r="B35" t="str">
            <v>Biên tập viên chính</v>
          </cell>
          <cell r="C35" t="str">
            <v>17.140</v>
          </cell>
          <cell r="D35">
            <v>4.4000000000000004</v>
          </cell>
          <cell r="E35">
            <v>0.34</v>
          </cell>
          <cell r="F35" t="str">
            <v>A2</v>
          </cell>
          <cell r="G35" t="str">
            <v>A2.1</v>
          </cell>
        </row>
        <row r="36">
          <cell r="B36" t="str">
            <v>Biên tập viên</v>
          </cell>
          <cell r="C36" t="str">
            <v>17.141</v>
          </cell>
          <cell r="D36">
            <v>2.34</v>
          </cell>
          <cell r="E36">
            <v>0.33</v>
          </cell>
          <cell r="F36" t="str">
            <v>A1</v>
          </cell>
          <cell r="G36" t="str">
            <v>- - -</v>
          </cell>
        </row>
        <row r="37">
          <cell r="B37" t="str">
            <v>Phóng viên cao cấp</v>
          </cell>
          <cell r="C37" t="str">
            <v>17.142</v>
          </cell>
          <cell r="D37">
            <v>6.2</v>
          </cell>
          <cell r="E37">
            <v>0.36</v>
          </cell>
          <cell r="F37" t="str">
            <v>A3</v>
          </cell>
          <cell r="G37" t="str">
            <v>A3.1</v>
          </cell>
        </row>
        <row r="38">
          <cell r="B38" t="str">
            <v>Phóng viên chính</v>
          </cell>
          <cell r="C38" t="str">
            <v>17.143</v>
          </cell>
          <cell r="D38">
            <v>4.4000000000000004</v>
          </cell>
          <cell r="E38">
            <v>0.34</v>
          </cell>
          <cell r="F38" t="str">
            <v>A2</v>
          </cell>
          <cell r="G38" t="str">
            <v>A2.1</v>
          </cell>
        </row>
        <row r="39">
          <cell r="B39" t="str">
            <v>Phóng viên</v>
          </cell>
          <cell r="C39" t="str">
            <v>17.144</v>
          </cell>
          <cell r="D39">
            <v>2.34</v>
          </cell>
          <cell r="E39">
            <v>0.33</v>
          </cell>
          <cell r="F39" t="str">
            <v>A1</v>
          </cell>
          <cell r="G39" t="str">
            <v>- - -</v>
          </cell>
        </row>
        <row r="40">
          <cell r="B40" t="str">
            <v>Kế toán viên cao cấp</v>
          </cell>
          <cell r="C40" t="str">
            <v>06.029</v>
          </cell>
          <cell r="D40">
            <v>5.75</v>
          </cell>
          <cell r="E40">
            <v>0.36</v>
          </cell>
          <cell r="F40" t="str">
            <v>A3</v>
          </cell>
          <cell r="G40" t="str">
            <v>A3.2</v>
          </cell>
        </row>
        <row r="41">
          <cell r="B41" t="str">
            <v>Kế toán viên chính</v>
          </cell>
          <cell r="C41" t="str">
            <v>06.030</v>
          </cell>
          <cell r="D41">
            <v>4</v>
          </cell>
          <cell r="E41">
            <v>0.34</v>
          </cell>
          <cell r="F41" t="str">
            <v>A2</v>
          </cell>
          <cell r="G41" t="str">
            <v>A2.2</v>
          </cell>
        </row>
        <row r="42">
          <cell r="B42" t="str">
            <v>Kế toán viên</v>
          </cell>
          <cell r="C42" t="str">
            <v>06.031</v>
          </cell>
          <cell r="D42">
            <v>2.34</v>
          </cell>
          <cell r="E42">
            <v>0.33</v>
          </cell>
          <cell r="F42" t="str">
            <v>A1</v>
          </cell>
          <cell r="G42" t="str">
            <v>- - -</v>
          </cell>
        </row>
        <row r="43">
          <cell r="B43" t="str">
            <v>Kế toán viên (cao đẳng)</v>
          </cell>
          <cell r="C43" t="str">
            <v>06a.031</v>
          </cell>
          <cell r="D43">
            <v>2.1</v>
          </cell>
          <cell r="E43">
            <v>0.31</v>
          </cell>
          <cell r="F43" t="str">
            <v>A0</v>
          </cell>
          <cell r="G43" t="str">
            <v>- - -</v>
          </cell>
        </row>
        <row r="44">
          <cell r="B44" t="str">
            <v>Kế toán viên trung cấp</v>
          </cell>
          <cell r="C44" t="str">
            <v>06.032</v>
          </cell>
          <cell r="D44">
            <v>1.86</v>
          </cell>
          <cell r="E44">
            <v>0.2</v>
          </cell>
          <cell r="F44" t="str">
            <v>B</v>
          </cell>
          <cell r="G44" t="str">
            <v>- - -</v>
          </cell>
        </row>
        <row r="45">
          <cell r="B45" t="str">
            <v>Lưu trữ viên</v>
          </cell>
          <cell r="C45" t="str">
            <v>02.014</v>
          </cell>
          <cell r="D45">
            <v>2.34</v>
          </cell>
          <cell r="E45">
            <v>0.33</v>
          </cell>
          <cell r="F45" t="str">
            <v>A1</v>
          </cell>
          <cell r="G45" t="str">
            <v>- - -</v>
          </cell>
        </row>
        <row r="46">
          <cell r="B46" t="str">
            <v>Lưu trữ viên (cao đẳng)</v>
          </cell>
          <cell r="C46" t="str">
            <v>02a.014</v>
          </cell>
          <cell r="D46">
            <v>2.1</v>
          </cell>
          <cell r="E46">
            <v>0.31</v>
          </cell>
          <cell r="F46" t="str">
            <v>A0</v>
          </cell>
          <cell r="G46" t="str">
            <v>- - -</v>
          </cell>
        </row>
        <row r="47">
          <cell r="B47" t="str">
            <v>Lưu trữ viên trung cấp</v>
          </cell>
          <cell r="C47" t="str">
            <v>02.015</v>
          </cell>
          <cell r="D47">
            <v>1.86</v>
          </cell>
          <cell r="E47">
            <v>0.2</v>
          </cell>
          <cell r="F47" t="str">
            <v>B</v>
          </cell>
          <cell r="G47" t="str">
            <v>- - -</v>
          </cell>
        </row>
        <row r="48">
          <cell r="B48" t="str">
            <v>Lái xe cơ quan</v>
          </cell>
          <cell r="C48" t="str">
            <v>01.010</v>
          </cell>
          <cell r="D48">
            <v>2.0499999999999998</v>
          </cell>
          <cell r="E48">
            <v>0.18</v>
          </cell>
          <cell r="F48" t="str">
            <v>C</v>
          </cell>
          <cell r="G48" t="str">
            <v>Nhân viên</v>
          </cell>
        </row>
        <row r="49">
          <cell r="B49" t="str">
            <v>Nhân viên kỹ thuật</v>
          </cell>
          <cell r="C49" t="str">
            <v>01.007</v>
          </cell>
          <cell r="D49">
            <v>1.65</v>
          </cell>
          <cell r="E49">
            <v>0.18</v>
          </cell>
          <cell r="F49" t="str">
            <v>C</v>
          </cell>
          <cell r="G49" t="str">
            <v>Nhân viên</v>
          </cell>
        </row>
        <row r="50">
          <cell r="B50" t="str">
            <v>Nhân viên bảo vệ</v>
          </cell>
          <cell r="C50" t="str">
            <v>01.011</v>
          </cell>
          <cell r="D50">
            <v>1.5</v>
          </cell>
          <cell r="E50">
            <v>0.18</v>
          </cell>
          <cell r="F50" t="str">
            <v>C</v>
          </cell>
          <cell r="G50" t="str">
            <v>Nhân viên</v>
          </cell>
        </row>
        <row r="51">
          <cell r="B51" t="str">
            <v>Kỹ Thuật viên đánh máy</v>
          </cell>
          <cell r="C51" t="str">
            <v>01.005</v>
          </cell>
          <cell r="D51">
            <v>1.5</v>
          </cell>
          <cell r="E51">
            <v>0.18</v>
          </cell>
          <cell r="F51" t="str">
            <v>C</v>
          </cell>
          <cell r="G51" t="str">
            <v>Nhân viên</v>
          </cell>
        </row>
        <row r="52">
          <cell r="B52" t="str">
            <v>Nhân viên đánh máy</v>
          </cell>
          <cell r="C52" t="str">
            <v>01.005</v>
          </cell>
          <cell r="D52">
            <v>1.5</v>
          </cell>
          <cell r="E52">
            <v>0.18</v>
          </cell>
          <cell r="F52" t="str">
            <v>C</v>
          </cell>
          <cell r="G52" t="str">
            <v>Nhân viên</v>
          </cell>
        </row>
        <row r="53">
          <cell r="B53" t="str">
            <v>Nhân viên phục vụ</v>
          </cell>
          <cell r="C53" t="str">
            <v>01.009</v>
          </cell>
          <cell r="D53">
            <v>1</v>
          </cell>
          <cell r="E53">
            <v>0.18</v>
          </cell>
          <cell r="F53" t="str">
            <v>C</v>
          </cell>
          <cell r="G53" t="str">
            <v>Nhân viên</v>
          </cell>
        </row>
        <row r="54">
          <cell r="B54" t="str">
            <v>Thủ kho bảo quản</v>
          </cell>
          <cell r="C54" t="str">
            <v>19.185</v>
          </cell>
          <cell r="D54">
            <v>1.65</v>
          </cell>
          <cell r="E54">
            <v>0.18</v>
          </cell>
          <cell r="F54" t="str">
            <v>C</v>
          </cell>
          <cell r="G54" t="str">
            <v>Nhân viên</v>
          </cell>
        </row>
        <row r="55">
          <cell r="B55" t="str">
            <v>Thủ quỹ</v>
          </cell>
          <cell r="C55" t="str">
            <v>06.035</v>
          </cell>
          <cell r="D55">
            <v>1.5</v>
          </cell>
          <cell r="E55">
            <v>0.18</v>
          </cell>
          <cell r="F55" t="str">
            <v>C</v>
          </cell>
          <cell r="G55" t="str">
            <v>Nhân viên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 t="str">
            <v>CHỨC VỤ</v>
          </cell>
          <cell r="C70" t="str">
            <v>PC CV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 t="str">
            <v>Giám đốc Học viện</v>
          </cell>
          <cell r="C71">
            <v>1.3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 t="str">
            <v>Nguyên giám đốc Học viện</v>
          </cell>
          <cell r="C72">
            <v>1.3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 t="str">
            <v>Phó Giám đốc Học viện</v>
          </cell>
          <cell r="C73">
            <v>1.1000000000000001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 t="str">
            <v>Nguyên Phó giám đốc Học viện</v>
          </cell>
          <cell r="C74">
            <v>1.1000000000000001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 t="str">
            <v>Giám đốc phân viện</v>
          </cell>
          <cell r="C75" t="str">
            <v>1,2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 t="str">
            <v>Trưởng khoa</v>
          </cell>
          <cell r="C76" t="str">
            <v>1,0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 t="str">
            <v>Nguyên Trưởng khoa</v>
          </cell>
          <cell r="C77" t="str">
            <v>1,0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 t="str">
            <v>Phó Trưởng khoa</v>
          </cell>
          <cell r="C78" t="str">
            <v>0,8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 t="str">
            <v>Nguyên Phó trưởng khoa</v>
          </cell>
          <cell r="C79" t="str">
            <v>0,8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 t="str">
            <v>Trưởng ban</v>
          </cell>
          <cell r="C80" t="str">
            <v>1,0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 t="str">
            <v>Nguyên Trưởng ban</v>
          </cell>
          <cell r="C81" t="str">
            <v>1,0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 t="str">
            <v>Phó Trưởng ban</v>
          </cell>
          <cell r="C82" t="str">
            <v>0,8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 t="str">
            <v>Phó Trưởng ban (PT)</v>
          </cell>
          <cell r="C83" t="str">
            <v>0,8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 t="str">
            <v>Nguyên Phó trưởng ban</v>
          </cell>
          <cell r="C84" t="str">
            <v>0,8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 t="str">
            <v>Trưởng phòng</v>
          </cell>
          <cell r="C85" t="str">
            <v>0,6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 t="str">
            <v>Q. Trưởng phòng</v>
          </cell>
          <cell r="C86" t="str">
            <v>0,6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 t="str">
            <v>Phó Trưởng phòng</v>
          </cell>
          <cell r="C87" t="str">
            <v>0,4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 t="str">
            <v>Phó Trưởng phòng (PT)</v>
          </cell>
          <cell r="C88" t="str">
            <v>0,4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 t="str">
            <v>Trưởng bộ môn</v>
          </cell>
          <cell r="C89" t="str">
            <v>0,6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B90" t="str">
            <v>Phó Trưởng bộ môn</v>
          </cell>
          <cell r="C90" t="str">
            <v>0,4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B91" t="str">
            <v>Tổng Biên tập</v>
          </cell>
          <cell r="C91" t="str">
            <v>1,0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B92" t="str">
            <v>Phó Tổng biên tập</v>
          </cell>
          <cell r="C92" t="str">
            <v>0,8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B93" t="str">
            <v>Trưởng ban (TC QLNN)</v>
          </cell>
          <cell r="C93" t="str">
            <v>0,6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B94" t="str">
            <v>Trưởng Ban Biên tập</v>
          </cell>
          <cell r="C94" t="str">
            <v>0,6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B95" t="str">
            <v>Phó Trưởng ban (TC QLNN)</v>
          </cell>
          <cell r="C95" t="str">
            <v>0,4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B96" t="str">
            <v>Phó Trưởng ban (TC QLNN)</v>
          </cell>
          <cell r="C96" t="str">
            <v>0,4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B97" t="str">
            <v>Viện Trưởng</v>
          </cell>
          <cell r="C97" t="str">
            <v>1,0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 t="str">
            <v>Nguyên Viện Trưởng</v>
          </cell>
          <cell r="C98" t="str">
            <v>1,0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 t="str">
            <v>Phó Viện Trưởng</v>
          </cell>
          <cell r="C99" t="str">
            <v>0,8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 t="str">
            <v>Nguyên Phó Viện Trưởng</v>
          </cell>
          <cell r="C100" t="str">
            <v>0,8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 t="str">
            <v>Chủ nhiệm TV</v>
          </cell>
          <cell r="C101" t="str">
            <v>0,6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 t="str">
            <v>Phó Chủ nhiệm TV</v>
          </cell>
          <cell r="C102" t="str">
            <v>0,4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 t="str">
            <v>Giám đốc (cấp vụ)</v>
          </cell>
          <cell r="C103" t="str">
            <v>1,0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 t="str">
            <v>Phó Giám đốc (cấp vụ)</v>
          </cell>
          <cell r="C104" t="str">
            <v>0,8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 t="str">
            <v>Giám đốc (cấp phòng)</v>
          </cell>
          <cell r="C105">
            <v>0.6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B106" t="str">
            <v>Phó Giám đốc (cấp phòng)</v>
          </cell>
          <cell r="C106" t="str">
            <v>0,4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B107" t="str">
            <v>Chánh văn phòng</v>
          </cell>
          <cell r="C107" t="str">
            <v>1,0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B108" t="str">
            <v>Phó Chánh văn phòng</v>
          </cell>
          <cell r="C108" t="str">
            <v>0,8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B109" t="str">
            <v>Đội Trưởng</v>
          </cell>
          <cell r="C109" t="str">
            <v>0,6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B110" t="str">
            <v>Đội Phó</v>
          </cell>
          <cell r="C110" t="str">
            <v>0,4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o QĐ"/>
      <sheetName val="$-Ds in QĐ"/>
      <sheetName val="$-BB1"/>
      <sheetName val="$-BC1"/>
      <sheetName val="$-TBao1"/>
      <sheetName val="@.DL-New "/>
      <sheetName val="%-TBao2"/>
      <sheetName val="%-BCcao2"/>
      <sheetName val="%-BBan2"/>
      <sheetName val="%-Ds QĐ2"/>
      <sheetName val="Giao QD %"/>
      <sheetName val="Ds Huu+Thoi.."/>
      <sheetName val="- DLiêu Gốc -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C1" t="str">
            <v>NGẠCH</v>
          </cell>
          <cell r="D1" t="str">
            <v>MÃ SỐ</v>
          </cell>
          <cell r="E1" t="str">
            <v>HS bậc 1</v>
          </cell>
          <cell r="F1" t="str">
            <v>BƯỚC</v>
          </cell>
          <cell r="G1" t="str">
            <v>LOẠI</v>
          </cell>
          <cell r="H1" t="str">
            <v>NHÓM</v>
          </cell>
        </row>
        <row r="2">
          <cell r="C2" t="str">
            <v>Giảng viên cao cấp (hạng I)</v>
          </cell>
          <cell r="D2" t="str">
            <v>V.07.01.01</v>
          </cell>
          <cell r="E2">
            <v>6.2</v>
          </cell>
          <cell r="F2">
            <v>0.36</v>
          </cell>
          <cell r="G2" t="str">
            <v>A3</v>
          </cell>
          <cell r="H2" t="str">
            <v>A3.1</v>
          </cell>
        </row>
        <row r="3">
          <cell r="C3" t="str">
            <v>Giảng viên chính (hạng II)</v>
          </cell>
          <cell r="D3" t="str">
            <v>V.07.01.02</v>
          </cell>
          <cell r="E3">
            <v>4.4000000000000004</v>
          </cell>
          <cell r="F3">
            <v>0.34</v>
          </cell>
          <cell r="G3" t="str">
            <v>A2</v>
          </cell>
          <cell r="H3" t="str">
            <v>A2.1</v>
          </cell>
        </row>
        <row r="4">
          <cell r="C4" t="str">
            <v>Giảng viên (hạng III)</v>
          </cell>
          <cell r="D4" t="str">
            <v>V.07.01.03</v>
          </cell>
          <cell r="E4">
            <v>2.34</v>
          </cell>
          <cell r="F4">
            <v>0.33</v>
          </cell>
          <cell r="G4" t="str">
            <v>A1</v>
          </cell>
          <cell r="H4" t="str">
            <v>- - -</v>
          </cell>
        </row>
        <row r="5">
          <cell r="C5" t="str">
            <v>Giảng viên chính</v>
          </cell>
          <cell r="D5" t="str">
            <v>15.110</v>
          </cell>
          <cell r="E5">
            <v>4.4000000000000004</v>
          </cell>
          <cell r="F5">
            <v>0.34</v>
          </cell>
          <cell r="G5" t="str">
            <v>A2</v>
          </cell>
          <cell r="H5" t="str">
            <v>A2.1</v>
          </cell>
        </row>
        <row r="6">
          <cell r="C6" t="str">
            <v xml:space="preserve">Giảng viên </v>
          </cell>
          <cell r="D6" t="str">
            <v>15.111</v>
          </cell>
          <cell r="E6">
            <v>2.34</v>
          </cell>
          <cell r="F6">
            <v>0.33</v>
          </cell>
          <cell r="G6" t="str">
            <v>A1</v>
          </cell>
          <cell r="H6" t="str">
            <v>- - -</v>
          </cell>
        </row>
        <row r="7">
          <cell r="C7" t="str">
            <v>Giáo viên trung học cao cấp</v>
          </cell>
          <cell r="D7" t="str">
            <v>15.112</v>
          </cell>
          <cell r="E7">
            <v>4</v>
          </cell>
          <cell r="F7">
            <v>0.34</v>
          </cell>
          <cell r="G7" t="str">
            <v>A2</v>
          </cell>
          <cell r="H7" t="str">
            <v>A2.2</v>
          </cell>
        </row>
        <row r="8">
          <cell r="C8" t="str">
            <v>Giáo viên trung học</v>
          </cell>
          <cell r="D8" t="str">
            <v>15.113</v>
          </cell>
          <cell r="E8">
            <v>2.34</v>
          </cell>
          <cell r="F8">
            <v>0.33</v>
          </cell>
          <cell r="G8" t="str">
            <v>A1</v>
          </cell>
          <cell r="H8" t="str">
            <v>- - -</v>
          </cell>
        </row>
        <row r="9">
          <cell r="C9" t="str">
            <v>Giáo viên trung học cơ sở chính</v>
          </cell>
          <cell r="D9" t="str">
            <v>15a.201</v>
          </cell>
          <cell r="E9">
            <v>2.34</v>
          </cell>
          <cell r="F9">
            <v>0.33</v>
          </cell>
          <cell r="G9" t="str">
            <v>A1</v>
          </cell>
          <cell r="H9" t="str">
            <v>- - -</v>
          </cell>
        </row>
        <row r="10">
          <cell r="C10" t="str">
            <v>Giáo viên trung học cơ sở</v>
          </cell>
          <cell r="D10" t="str">
            <v>15a.202</v>
          </cell>
          <cell r="E10">
            <v>2.1</v>
          </cell>
          <cell r="F10">
            <v>0.31</v>
          </cell>
          <cell r="G10" t="str">
            <v>A0</v>
          </cell>
          <cell r="H10" t="str">
            <v>- - -</v>
          </cell>
        </row>
        <row r="11">
          <cell r="C11" t="str">
            <v>Nghiên cứu viên cao cấp (hạng I)</v>
          </cell>
          <cell r="D11" t="str">
            <v>V.05.01.01</v>
          </cell>
          <cell r="E11">
            <v>6.2</v>
          </cell>
          <cell r="F11">
            <v>0.36</v>
          </cell>
          <cell r="G11" t="str">
            <v>A3</v>
          </cell>
          <cell r="H11" t="str">
            <v>A3.1</v>
          </cell>
        </row>
        <row r="12">
          <cell r="C12" t="str">
            <v>Nghiên cứu viên chính (hạng II)</v>
          </cell>
          <cell r="D12" t="str">
            <v>V.05.01.02</v>
          </cell>
          <cell r="E12">
            <v>4.4000000000000004</v>
          </cell>
          <cell r="F12">
            <v>0.34</v>
          </cell>
          <cell r="G12" t="str">
            <v>A2</v>
          </cell>
          <cell r="H12" t="str">
            <v>A2.1</v>
          </cell>
        </row>
        <row r="13">
          <cell r="C13" t="str">
            <v>Nghiên cứu viên (hạng III)</v>
          </cell>
          <cell r="D13" t="str">
            <v>V.05.01.03</v>
          </cell>
          <cell r="E13">
            <v>2.34</v>
          </cell>
          <cell r="F13">
            <v>0.33</v>
          </cell>
          <cell r="G13" t="str">
            <v>A1</v>
          </cell>
          <cell r="H13" t="str">
            <v>- - -</v>
          </cell>
        </row>
        <row r="14">
          <cell r="C14" t="str">
            <v>Chuyên viên cao cấp</v>
          </cell>
          <cell r="D14" t="str">
            <v>01.001</v>
          </cell>
          <cell r="E14">
            <v>6.2</v>
          </cell>
          <cell r="F14">
            <v>0.36</v>
          </cell>
          <cell r="G14" t="str">
            <v>A3</v>
          </cell>
          <cell r="H14" t="str">
            <v>A3.1</v>
          </cell>
        </row>
        <row r="15">
          <cell r="C15" t="str">
            <v>Chuyên viên chính</v>
          </cell>
          <cell r="D15" t="str">
            <v>01.002</v>
          </cell>
          <cell r="E15">
            <v>4.4000000000000004</v>
          </cell>
          <cell r="F15">
            <v>0.34</v>
          </cell>
          <cell r="G15" t="str">
            <v>A2</v>
          </cell>
          <cell r="H15" t="str">
            <v>A2.1</v>
          </cell>
        </row>
        <row r="16">
          <cell r="C16" t="str">
            <v>Chuyên viên</v>
          </cell>
          <cell r="D16" t="str">
            <v>01.003</v>
          </cell>
          <cell r="E16">
            <v>2.34</v>
          </cell>
          <cell r="F16">
            <v>0.33</v>
          </cell>
          <cell r="G16" t="str">
            <v>A1</v>
          </cell>
          <cell r="H16" t="str">
            <v>- - -</v>
          </cell>
        </row>
        <row r="17">
          <cell r="C17" t="str">
            <v>Chuyên viên (cao đẳng)</v>
          </cell>
          <cell r="D17" t="str">
            <v>01a.003</v>
          </cell>
          <cell r="E17">
            <v>2.1</v>
          </cell>
          <cell r="F17">
            <v>0.31</v>
          </cell>
          <cell r="G17" t="str">
            <v>A0</v>
          </cell>
          <cell r="H17" t="str">
            <v>- - -</v>
          </cell>
        </row>
        <row r="18">
          <cell r="C18" t="str">
            <v>Cán sự</v>
          </cell>
          <cell r="D18" t="str">
            <v>01.004</v>
          </cell>
          <cell r="E18">
            <v>1.86</v>
          </cell>
          <cell r="F18">
            <v>0.2</v>
          </cell>
          <cell r="G18" t="str">
            <v>B</v>
          </cell>
          <cell r="H18" t="str">
            <v>- - -</v>
          </cell>
        </row>
        <row r="19">
          <cell r="C19" t="str">
            <v>Thanh tra viên cao cấp</v>
          </cell>
          <cell r="D19" t="str">
            <v>04.023</v>
          </cell>
          <cell r="E19">
            <v>6.2</v>
          </cell>
          <cell r="F19">
            <v>0.36</v>
          </cell>
          <cell r="G19" t="str">
            <v>A3</v>
          </cell>
          <cell r="H19" t="str">
            <v>A3.1</v>
          </cell>
        </row>
        <row r="20">
          <cell r="C20" t="str">
            <v>Thanh tra viên chính</v>
          </cell>
          <cell r="D20" t="str">
            <v>04.024</v>
          </cell>
          <cell r="E20">
            <v>4.4000000000000004</v>
          </cell>
          <cell r="F20">
            <v>0.34</v>
          </cell>
          <cell r="G20" t="str">
            <v>A2</v>
          </cell>
          <cell r="H20" t="str">
            <v>A2.1</v>
          </cell>
        </row>
        <row r="21">
          <cell r="C21" t="str">
            <v>Thanh tra viên</v>
          </cell>
          <cell r="D21" t="str">
            <v>04.025</v>
          </cell>
          <cell r="E21">
            <v>2.34</v>
          </cell>
          <cell r="F21">
            <v>0.33</v>
          </cell>
          <cell r="G21" t="str">
            <v>A1</v>
          </cell>
          <cell r="H21" t="str">
            <v>- - -</v>
          </cell>
        </row>
        <row r="22">
          <cell r="C22" t="str">
            <v>Kiểm tra viên</v>
          </cell>
          <cell r="D22" t="str">
            <v>04,025A</v>
          </cell>
          <cell r="E22">
            <v>2.34</v>
          </cell>
          <cell r="F22">
            <v>0.33</v>
          </cell>
          <cell r="G22" t="str">
            <v>A1</v>
          </cell>
          <cell r="H22" t="str">
            <v>- - -</v>
          </cell>
        </row>
        <row r="23">
          <cell r="C23" t="str">
            <v>Thẩm tra viên</v>
          </cell>
          <cell r="D23" t="str">
            <v>03.230</v>
          </cell>
          <cell r="E23">
            <v>2.34</v>
          </cell>
          <cell r="F23">
            <v>0.33</v>
          </cell>
          <cell r="G23" t="str">
            <v>A1</v>
          </cell>
          <cell r="H23" t="str">
            <v>- - -</v>
          </cell>
        </row>
        <row r="24">
          <cell r="C24" t="str">
            <v>Thư viện viên hạng II</v>
          </cell>
          <cell r="D24" t="str">
            <v>V.10.02.05</v>
          </cell>
          <cell r="E24">
            <v>4</v>
          </cell>
          <cell r="F24">
            <v>0.34</v>
          </cell>
          <cell r="G24" t="str">
            <v>A2</v>
          </cell>
          <cell r="H24" t="str">
            <v>A2.2</v>
          </cell>
        </row>
        <row r="25">
          <cell r="C25" t="str">
            <v>Thư viện viên hạng III</v>
          </cell>
          <cell r="D25" t="str">
            <v>V.10.02.06</v>
          </cell>
          <cell r="E25">
            <v>2.34</v>
          </cell>
          <cell r="F25">
            <v>0.33</v>
          </cell>
          <cell r="G25" t="str">
            <v>A1</v>
          </cell>
          <cell r="H25" t="str">
            <v>- - -</v>
          </cell>
        </row>
        <row r="26">
          <cell r="C26" t="str">
            <v>Thư viện viên hạng IV</v>
          </cell>
          <cell r="D26" t="str">
            <v>V.10.02.07</v>
          </cell>
          <cell r="E26">
            <v>1.86</v>
          </cell>
          <cell r="F26">
            <v>0.2</v>
          </cell>
          <cell r="G26" t="str">
            <v>B</v>
          </cell>
          <cell r="H26" t="str">
            <v>- - -</v>
          </cell>
        </row>
        <row r="27">
          <cell r="C27" t="str">
            <v>Thư viện viên (cao đẳng)</v>
          </cell>
          <cell r="D27" t="str">
            <v>17a.170</v>
          </cell>
          <cell r="E27">
            <v>2.1</v>
          </cell>
          <cell r="F27">
            <v>0.31</v>
          </cell>
          <cell r="G27" t="str">
            <v>A0</v>
          </cell>
          <cell r="H27" t="str">
            <v>- - -</v>
          </cell>
        </row>
        <row r="28">
          <cell r="C28" t="str">
            <v>Kỹ sư cao cấp (hạng I)</v>
          </cell>
          <cell r="D28" t="str">
            <v>V.05.02.05</v>
          </cell>
          <cell r="E28">
            <v>6.2</v>
          </cell>
          <cell r="F28">
            <v>0.36</v>
          </cell>
          <cell r="G28" t="str">
            <v>A3</v>
          </cell>
          <cell r="H28" t="str">
            <v>A3.1</v>
          </cell>
        </row>
        <row r="29">
          <cell r="C29" t="str">
            <v>Kỹ sư chính (hạng II)</v>
          </cell>
          <cell r="D29" t="str">
            <v>V.05.02.06</v>
          </cell>
          <cell r="E29">
            <v>4.4000000000000004</v>
          </cell>
          <cell r="F29">
            <v>0.34</v>
          </cell>
          <cell r="G29" t="str">
            <v>A2</v>
          </cell>
          <cell r="H29" t="str">
            <v>A2.1</v>
          </cell>
        </row>
        <row r="30">
          <cell r="C30" t="str">
            <v>Kỹ sư (hạng III)</v>
          </cell>
          <cell r="D30" t="str">
            <v>V.05.02.07</v>
          </cell>
          <cell r="E30">
            <v>2.34</v>
          </cell>
          <cell r="F30">
            <v>0.33</v>
          </cell>
          <cell r="G30" t="str">
            <v>A1</v>
          </cell>
          <cell r="H30" t="str">
            <v>- - -</v>
          </cell>
        </row>
        <row r="31">
          <cell r="C31" t="str">
            <v>Kỹ thuật viên (hạng IV)</v>
          </cell>
          <cell r="D31" t="str">
            <v>V.05.02.08</v>
          </cell>
          <cell r="E31">
            <v>1.86</v>
          </cell>
          <cell r="F31">
            <v>0.2</v>
          </cell>
          <cell r="G31" t="str">
            <v>B</v>
          </cell>
          <cell r="H31" t="str">
            <v>- - -</v>
          </cell>
        </row>
        <row r="32">
          <cell r="C32" t="str">
            <v>Bác sĩ cao cấp (hạng I)</v>
          </cell>
          <cell r="D32" t="str">
            <v>V.08.01.01</v>
          </cell>
          <cell r="E32">
            <v>6.2</v>
          </cell>
          <cell r="F32">
            <v>0.36</v>
          </cell>
          <cell r="G32" t="str">
            <v>A3</v>
          </cell>
          <cell r="H32" t="str">
            <v>A3.1</v>
          </cell>
        </row>
        <row r="33">
          <cell r="C33" t="str">
            <v>Bác sĩ chính (hạng II)</v>
          </cell>
          <cell r="D33" t="str">
            <v>V.08.01.02</v>
          </cell>
          <cell r="E33">
            <v>4.4000000000000004</v>
          </cell>
          <cell r="F33">
            <v>0.34</v>
          </cell>
          <cell r="G33" t="str">
            <v>A2</v>
          </cell>
          <cell r="H33" t="str">
            <v>A2.1</v>
          </cell>
        </row>
        <row r="34">
          <cell r="C34" t="str">
            <v>Bác sĩ (hạng III)</v>
          </cell>
          <cell r="D34" t="str">
            <v>V.08.01.03</v>
          </cell>
          <cell r="E34">
            <v>2.34</v>
          </cell>
          <cell r="F34">
            <v>0.33</v>
          </cell>
          <cell r="G34" t="str">
            <v>A1</v>
          </cell>
          <cell r="H34" t="str">
            <v>- - -</v>
          </cell>
        </row>
        <row r="35">
          <cell r="C35" t="str">
            <v>Y sĩ (hạng IV)</v>
          </cell>
          <cell r="D35" t="str">
            <v>V.08.01.04</v>
          </cell>
          <cell r="E35">
            <v>1.86</v>
          </cell>
          <cell r="F35">
            <v>0.2</v>
          </cell>
          <cell r="G35" t="str">
            <v>B</v>
          </cell>
          <cell r="H35" t="str">
            <v>- - -</v>
          </cell>
        </row>
        <row r="36">
          <cell r="C36" t="str">
            <v>Biên tập viên hạng I</v>
          </cell>
          <cell r="D36" t="str">
            <v>V1.11.01.01</v>
          </cell>
          <cell r="E36">
            <v>6.2</v>
          </cell>
          <cell r="F36">
            <v>0.36</v>
          </cell>
          <cell r="G36" t="str">
            <v>A3</v>
          </cell>
          <cell r="H36" t="str">
            <v>A3.1</v>
          </cell>
        </row>
        <row r="37">
          <cell r="C37" t="str">
            <v>Biên tập viên hạng II</v>
          </cell>
          <cell r="D37" t="str">
            <v>V1.11.01.02</v>
          </cell>
          <cell r="E37">
            <v>4.4000000000000004</v>
          </cell>
          <cell r="F37">
            <v>0.34</v>
          </cell>
          <cell r="G37" t="str">
            <v>A2</v>
          </cell>
          <cell r="H37" t="str">
            <v>A2.1</v>
          </cell>
        </row>
        <row r="38">
          <cell r="C38" t="str">
            <v>Biên tập viên hạng III</v>
          </cell>
          <cell r="D38" t="str">
            <v>V1.11.01.03</v>
          </cell>
          <cell r="E38">
            <v>2.34</v>
          </cell>
          <cell r="F38">
            <v>0.33</v>
          </cell>
          <cell r="G38" t="str">
            <v>A1</v>
          </cell>
          <cell r="H38" t="str">
            <v>- - -</v>
          </cell>
        </row>
        <row r="39">
          <cell r="C39" t="str">
            <v>Phóng viên hạng I</v>
          </cell>
          <cell r="D39" t="str">
            <v>V1.11.01.04</v>
          </cell>
          <cell r="E39">
            <v>6.2</v>
          </cell>
          <cell r="F39">
            <v>0.36</v>
          </cell>
          <cell r="G39" t="str">
            <v>A3</v>
          </cell>
          <cell r="H39" t="str">
            <v>A3.1</v>
          </cell>
        </row>
        <row r="40">
          <cell r="C40" t="str">
            <v>Phóng viên hạng II</v>
          </cell>
          <cell r="D40" t="str">
            <v>V1.11.01.05</v>
          </cell>
          <cell r="E40">
            <v>4.4000000000000004</v>
          </cell>
          <cell r="F40">
            <v>0.34</v>
          </cell>
          <cell r="G40" t="str">
            <v>A2</v>
          </cell>
          <cell r="H40" t="str">
            <v>A2.1</v>
          </cell>
        </row>
        <row r="41">
          <cell r="C41" t="str">
            <v>Phóng viên hạng III</v>
          </cell>
          <cell r="D41" t="str">
            <v>V1.11.01.06</v>
          </cell>
          <cell r="E41">
            <v>2.34</v>
          </cell>
          <cell r="F41">
            <v>0.33</v>
          </cell>
          <cell r="G41" t="str">
            <v>A1</v>
          </cell>
          <cell r="H41" t="str">
            <v>- - -</v>
          </cell>
        </row>
        <row r="42">
          <cell r="C42" t="str">
            <v>Biên tập viên chính</v>
          </cell>
          <cell r="D42" t="str">
            <v>17.140</v>
          </cell>
          <cell r="E42">
            <v>4.4000000000000004</v>
          </cell>
          <cell r="F42">
            <v>0.34</v>
          </cell>
          <cell r="G42" t="str">
            <v>A2</v>
          </cell>
          <cell r="H42" t="str">
            <v>A2.1</v>
          </cell>
        </row>
        <row r="43">
          <cell r="C43" t="str">
            <v>Phóng viên chính</v>
          </cell>
          <cell r="D43" t="str">
            <v>17.143</v>
          </cell>
          <cell r="E43">
            <v>4.4000000000000004</v>
          </cell>
          <cell r="F43">
            <v>0.34</v>
          </cell>
          <cell r="G43" t="str">
            <v>A2</v>
          </cell>
          <cell r="H43" t="str">
            <v>A2.1</v>
          </cell>
        </row>
        <row r="44">
          <cell r="C44" t="str">
            <v>Kế toán viên cao cấp</v>
          </cell>
          <cell r="D44" t="str">
            <v>06.029</v>
          </cell>
          <cell r="E44">
            <v>5.75</v>
          </cell>
          <cell r="F44">
            <v>0.36</v>
          </cell>
          <cell r="G44" t="str">
            <v>A3</v>
          </cell>
          <cell r="H44" t="str">
            <v>A3.2</v>
          </cell>
        </row>
        <row r="45">
          <cell r="C45" t="str">
            <v>Kế toán viên chính</v>
          </cell>
          <cell r="D45" t="str">
            <v>06.030</v>
          </cell>
          <cell r="E45">
            <v>4</v>
          </cell>
          <cell r="F45">
            <v>0.34</v>
          </cell>
          <cell r="G45" t="str">
            <v>A2</v>
          </cell>
          <cell r="H45" t="str">
            <v>A2.2</v>
          </cell>
        </row>
        <row r="46">
          <cell r="C46" t="str">
            <v>Kế toán viên</v>
          </cell>
          <cell r="D46" t="str">
            <v>06.031</v>
          </cell>
          <cell r="E46">
            <v>2.34</v>
          </cell>
          <cell r="F46">
            <v>0.33</v>
          </cell>
          <cell r="G46" t="str">
            <v>A1</v>
          </cell>
          <cell r="H46" t="str">
            <v>- - -</v>
          </cell>
        </row>
        <row r="47">
          <cell r="C47" t="str">
            <v>Kế toán viên (cao đẳng)</v>
          </cell>
          <cell r="D47" t="str">
            <v>06a.031</v>
          </cell>
          <cell r="E47">
            <v>2.1</v>
          </cell>
          <cell r="F47">
            <v>0.31</v>
          </cell>
          <cell r="G47" t="str">
            <v>A0</v>
          </cell>
          <cell r="H47" t="str">
            <v>- - -</v>
          </cell>
        </row>
        <row r="48">
          <cell r="C48" t="str">
            <v>Kế toán viên trung cấp</v>
          </cell>
          <cell r="D48" t="str">
            <v>06.032</v>
          </cell>
          <cell r="E48">
            <v>1.86</v>
          </cell>
          <cell r="F48">
            <v>0.2</v>
          </cell>
          <cell r="G48" t="str">
            <v>B</v>
          </cell>
          <cell r="H48" t="str">
            <v>- - -</v>
          </cell>
        </row>
        <row r="49">
          <cell r="C49" t="str">
            <v>Lưu trữ viên</v>
          </cell>
          <cell r="D49" t="str">
            <v>02.014</v>
          </cell>
          <cell r="E49">
            <v>2.34</v>
          </cell>
          <cell r="F49">
            <v>0.33</v>
          </cell>
          <cell r="G49" t="str">
            <v>A1</v>
          </cell>
          <cell r="H49" t="str">
            <v>- - -</v>
          </cell>
        </row>
        <row r="50">
          <cell r="C50" t="str">
            <v>Lưu trữ viên (cao đẳng)</v>
          </cell>
          <cell r="D50" t="str">
            <v>02a.014</v>
          </cell>
          <cell r="E50">
            <v>2.1</v>
          </cell>
          <cell r="F50">
            <v>0.31</v>
          </cell>
          <cell r="G50" t="str">
            <v>A0</v>
          </cell>
          <cell r="H50" t="str">
            <v>- - -</v>
          </cell>
        </row>
        <row r="51">
          <cell r="C51" t="str">
            <v>Lưu trữ viên trung cấp</v>
          </cell>
          <cell r="D51" t="str">
            <v>02.015</v>
          </cell>
          <cell r="E51">
            <v>1.86</v>
          </cell>
          <cell r="F51">
            <v>0.2</v>
          </cell>
          <cell r="G51" t="str">
            <v>B</v>
          </cell>
          <cell r="H51" t="str">
            <v>- - -</v>
          </cell>
        </row>
        <row r="52">
          <cell r="C52" t="str">
            <v>Kỹ Thuật viên đánh máy</v>
          </cell>
          <cell r="D52" t="str">
            <v>01.005</v>
          </cell>
          <cell r="E52">
            <v>2.0499999999999998</v>
          </cell>
          <cell r="F52">
            <v>0.18</v>
          </cell>
          <cell r="G52" t="str">
            <v>C</v>
          </cell>
          <cell r="H52" t="str">
            <v>Nhân viên</v>
          </cell>
        </row>
        <row r="53">
          <cell r="C53" t="str">
            <v>Nhân viên đánh máy</v>
          </cell>
          <cell r="D53" t="str">
            <v>01.006</v>
          </cell>
          <cell r="E53">
            <v>1.5</v>
          </cell>
          <cell r="F53">
            <v>0.18</v>
          </cell>
          <cell r="G53" t="str">
            <v>C</v>
          </cell>
          <cell r="H53" t="str">
            <v>Nhân viên</v>
          </cell>
        </row>
        <row r="54">
          <cell r="C54" t="str">
            <v>Nhân viên kỹ thuật</v>
          </cell>
          <cell r="D54" t="str">
            <v>01.007</v>
          </cell>
          <cell r="E54">
            <v>1.65</v>
          </cell>
          <cell r="F54">
            <v>0.18</v>
          </cell>
          <cell r="G54" t="str">
            <v>C</v>
          </cell>
          <cell r="H54" t="str">
            <v>Nhân viên</v>
          </cell>
        </row>
        <row r="55">
          <cell r="C55" t="str">
            <v>Nhân viên văn thư</v>
          </cell>
          <cell r="D55" t="str">
            <v>01.008</v>
          </cell>
          <cell r="E55">
            <v>1.35</v>
          </cell>
          <cell r="F55">
            <v>0.18</v>
          </cell>
          <cell r="G55" t="str">
            <v>C</v>
          </cell>
          <cell r="H55" t="str">
            <v>Nhân viên</v>
          </cell>
        </row>
        <row r="56">
          <cell r="C56" t="str">
            <v>Nhân viên phục vụ</v>
          </cell>
          <cell r="D56" t="str">
            <v>01.009</v>
          </cell>
          <cell r="E56">
            <v>1</v>
          </cell>
          <cell r="F56">
            <v>0.18</v>
          </cell>
          <cell r="G56" t="str">
            <v>C</v>
          </cell>
          <cell r="H56" t="str">
            <v>Nhân viên</v>
          </cell>
        </row>
        <row r="57">
          <cell r="C57" t="str">
            <v>Lái xe cơ quan</v>
          </cell>
          <cell r="D57" t="str">
            <v>01.010</v>
          </cell>
          <cell r="E57">
            <v>2.0499999999999998</v>
          </cell>
          <cell r="F57">
            <v>0.18</v>
          </cell>
          <cell r="G57" t="str">
            <v>C</v>
          </cell>
          <cell r="H57" t="str">
            <v>Nhân viên</v>
          </cell>
        </row>
        <row r="58">
          <cell r="C58" t="str">
            <v>Nhân viên bảo vệ</v>
          </cell>
          <cell r="D58" t="str">
            <v>01.011</v>
          </cell>
          <cell r="E58">
            <v>1.5</v>
          </cell>
          <cell r="F58">
            <v>0.18</v>
          </cell>
          <cell r="G58" t="str">
            <v>C</v>
          </cell>
          <cell r="H58" t="str">
            <v>Nhân viên</v>
          </cell>
        </row>
        <row r="59">
          <cell r="C59" t="str">
            <v>Thủ kho bảo quản</v>
          </cell>
          <cell r="D59" t="str">
            <v>19.185</v>
          </cell>
          <cell r="E59">
            <v>1.65</v>
          </cell>
          <cell r="F59">
            <v>0.18</v>
          </cell>
          <cell r="G59" t="str">
            <v>C</v>
          </cell>
          <cell r="H59" t="str">
            <v>Nhân viên</v>
          </cell>
        </row>
        <row r="60">
          <cell r="C60" t="str">
            <v>Thủ quỹ</v>
          </cell>
          <cell r="D60" t="str">
            <v>06.035</v>
          </cell>
          <cell r="E60">
            <v>1.5</v>
          </cell>
          <cell r="F60">
            <v>0.18</v>
          </cell>
          <cell r="G60" t="str">
            <v>C</v>
          </cell>
          <cell r="H60" t="str">
            <v>Nhân viên</v>
          </cell>
        </row>
        <row r="62">
          <cell r="C62" t="str">
            <v>CHỨC VỤ</v>
          </cell>
          <cell r="D62" t="str">
            <v>PC CV</v>
          </cell>
        </row>
        <row r="63">
          <cell r="C63" t="str">
            <v>Giám đốc Học viện</v>
          </cell>
          <cell r="D63">
            <v>1.25</v>
          </cell>
        </row>
        <row r="64">
          <cell r="C64" t="str">
            <v>Phó Giám đốc Học viện</v>
          </cell>
          <cell r="D64">
            <v>1.1000000000000001</v>
          </cell>
        </row>
        <row r="65">
          <cell r="C65" t="str">
            <v>Nguyên Phó Giám đốc Học viện</v>
          </cell>
          <cell r="D65">
            <v>1.1000000000000001</v>
          </cell>
        </row>
        <row r="66">
          <cell r="C66" t="str">
            <v>Trưởng khoa</v>
          </cell>
          <cell r="D66">
            <v>1</v>
          </cell>
        </row>
        <row r="67">
          <cell r="C67" t="str">
            <v>Nguyên Trưởng khoa</v>
          </cell>
          <cell r="D67">
            <v>1</v>
          </cell>
        </row>
        <row r="68">
          <cell r="C68" t="str">
            <v>Q. Trưởng khoa</v>
          </cell>
          <cell r="D68">
            <v>1</v>
          </cell>
        </row>
        <row r="69">
          <cell r="C69" t="str">
            <v>Nguyên Q. Trưởng khoa</v>
          </cell>
          <cell r="D69">
            <v>1</v>
          </cell>
        </row>
        <row r="70">
          <cell r="C70" t="str">
            <v>Giám đốc phân viện</v>
          </cell>
          <cell r="D70">
            <v>1</v>
          </cell>
        </row>
        <row r="71">
          <cell r="C71" t="str">
            <v>Trưởng ban</v>
          </cell>
          <cell r="D71">
            <v>1</v>
          </cell>
        </row>
        <row r="72">
          <cell r="C72" t="str">
            <v>Nguyên Trưởng ban</v>
          </cell>
          <cell r="D72">
            <v>1</v>
          </cell>
        </row>
        <row r="73">
          <cell r="C73" t="str">
            <v>Tổng Biên tập</v>
          </cell>
          <cell r="D73">
            <v>1</v>
          </cell>
        </row>
        <row r="74">
          <cell r="C74" t="str">
            <v>Viện Trưởng</v>
          </cell>
          <cell r="D74">
            <v>1</v>
          </cell>
        </row>
        <row r="75">
          <cell r="C75" t="str">
            <v>Nguyên Viện Trưởng</v>
          </cell>
          <cell r="D75">
            <v>1</v>
          </cell>
        </row>
        <row r="76">
          <cell r="C76" t="str">
            <v>Giám đốc (cấp vụ)</v>
          </cell>
          <cell r="D76">
            <v>1</v>
          </cell>
        </row>
        <row r="77">
          <cell r="C77" t="str">
            <v>Chánh Văn phòng</v>
          </cell>
          <cell r="D77">
            <v>1</v>
          </cell>
        </row>
        <row r="78">
          <cell r="C78" t="str">
            <v>Phó Giám đốc Phân viện</v>
          </cell>
          <cell r="D78">
            <v>0.8</v>
          </cell>
        </row>
        <row r="79">
          <cell r="C79" t="str">
            <v>Phó Trưởng khoa</v>
          </cell>
          <cell r="D79">
            <v>0.8</v>
          </cell>
        </row>
        <row r="80">
          <cell r="C80" t="str">
            <v>Nguyên Phó Trưởng khoa</v>
          </cell>
          <cell r="D80">
            <v>0.8</v>
          </cell>
        </row>
        <row r="81">
          <cell r="C81" t="str">
            <v>Phó Trưởng ban</v>
          </cell>
          <cell r="D81">
            <v>0.8</v>
          </cell>
        </row>
        <row r="82">
          <cell r="C82" t="str">
            <v>Phó Trưởng ban (PT)</v>
          </cell>
          <cell r="D82">
            <v>0.8</v>
          </cell>
        </row>
        <row r="83">
          <cell r="C83" t="str">
            <v>Nguyên Phó Trưởng ban</v>
          </cell>
          <cell r="D83">
            <v>0.8</v>
          </cell>
        </row>
        <row r="84">
          <cell r="C84" t="str">
            <v>Phó Tổng biên tập</v>
          </cell>
          <cell r="D84">
            <v>0.8</v>
          </cell>
        </row>
        <row r="85">
          <cell r="C85" t="str">
            <v>Phó Viện trưởng</v>
          </cell>
          <cell r="D85">
            <v>0.8</v>
          </cell>
        </row>
        <row r="86">
          <cell r="C86" t="str">
            <v>Nguyên Phó Viện trưởng</v>
          </cell>
          <cell r="D86">
            <v>0.8</v>
          </cell>
        </row>
        <row r="87">
          <cell r="C87" t="str">
            <v>Phó Giám đốc (cấp vụ)</v>
          </cell>
          <cell r="D87">
            <v>0.8</v>
          </cell>
        </row>
        <row r="88">
          <cell r="C88" t="str">
            <v>Phó Chánh Văn phòng</v>
          </cell>
          <cell r="D88">
            <v>0.8</v>
          </cell>
        </row>
        <row r="89">
          <cell r="C89" t="str">
            <v>Giám đốc (cấp phòng)</v>
          </cell>
          <cell r="D89">
            <v>0.6</v>
          </cell>
        </row>
        <row r="90">
          <cell r="C90" t="str">
            <v>Chánh Văn phòng (cấp phòng)</v>
          </cell>
          <cell r="D90">
            <v>0.6</v>
          </cell>
        </row>
        <row r="91">
          <cell r="C91" t="str">
            <v>Trưởng khoa (cấp phòng)</v>
          </cell>
          <cell r="D91">
            <v>0.6</v>
          </cell>
        </row>
        <row r="92">
          <cell r="C92" t="str">
            <v>Trưởng phòng</v>
          </cell>
          <cell r="D92">
            <v>0.6</v>
          </cell>
        </row>
        <row r="93">
          <cell r="C93" t="str">
            <v>Q. Trưởng phòng</v>
          </cell>
          <cell r="D93">
            <v>0.6</v>
          </cell>
        </row>
        <row r="94">
          <cell r="C94" t="str">
            <v>Trưởng bộ môn</v>
          </cell>
          <cell r="D94">
            <v>0.6</v>
          </cell>
        </row>
        <row r="95">
          <cell r="C95" t="str">
            <v>Nguyên Trưởng bộ môn</v>
          </cell>
          <cell r="D95">
            <v>0.6</v>
          </cell>
        </row>
        <row r="96">
          <cell r="C96" t="str">
            <v>Trưởng ban (cấp phòng)</v>
          </cell>
          <cell r="D96">
            <v>0.6</v>
          </cell>
        </row>
        <row r="97">
          <cell r="C97" t="str">
            <v>Chủ nhiệm (cấp phòng)</v>
          </cell>
          <cell r="D97">
            <v>0.6</v>
          </cell>
        </row>
        <row r="98">
          <cell r="C98" t="str">
            <v>Đội Trưởng (cấp phòng)</v>
          </cell>
          <cell r="D98">
            <v>0.6</v>
          </cell>
        </row>
        <row r="99">
          <cell r="C99" t="str">
            <v>Phó Trưởng phòng</v>
          </cell>
          <cell r="D99">
            <v>0.4</v>
          </cell>
        </row>
        <row r="100">
          <cell r="C100" t="str">
            <v>Phó Trưởng phòng (PT)</v>
          </cell>
          <cell r="D100">
            <v>0.4</v>
          </cell>
        </row>
        <row r="101">
          <cell r="C101" t="str">
            <v>Phó Trưởng bộ môn</v>
          </cell>
          <cell r="D101">
            <v>0.4</v>
          </cell>
        </row>
        <row r="102">
          <cell r="C102" t="str">
            <v>Nguyên Phó Trưởng bộ môn</v>
          </cell>
          <cell r="D102">
            <v>0.4</v>
          </cell>
        </row>
        <row r="103">
          <cell r="C103" t="str">
            <v>Phó Trưởng ban (cấp phòng)</v>
          </cell>
          <cell r="D103">
            <v>0.4</v>
          </cell>
        </row>
        <row r="104">
          <cell r="C104" t="str">
            <v>Phó Trưởng ban (cấp phòng)</v>
          </cell>
          <cell r="D104">
            <v>0.4</v>
          </cell>
        </row>
        <row r="105">
          <cell r="C105" t="str">
            <v>Phó Chủ nhiệm (cấp phòng)</v>
          </cell>
          <cell r="D105">
            <v>0.4</v>
          </cell>
        </row>
        <row r="106">
          <cell r="C106" t="str">
            <v>Phó Giám đốc (cấp phòng)</v>
          </cell>
          <cell r="D106">
            <v>0.4</v>
          </cell>
        </row>
        <row r="107">
          <cell r="C107" t="str">
            <v>Phó Chánh Văn phòng (cấp phòng)</v>
          </cell>
          <cell r="D107">
            <v>0.4</v>
          </cell>
        </row>
        <row r="108">
          <cell r="C108" t="str">
            <v>Đội Phó (cấp phòng)</v>
          </cell>
          <cell r="D108">
            <v>0.4</v>
          </cell>
        </row>
        <row r="116">
          <cell r="C116" t="str">
            <v>Bác sĩ cao cấp</v>
          </cell>
          <cell r="D116" t="str">
            <v>16.116</v>
          </cell>
          <cell r="E116">
            <v>6.2</v>
          </cell>
          <cell r="F116">
            <v>0.36</v>
          </cell>
          <cell r="G116" t="str">
            <v>A3</v>
          </cell>
          <cell r="H116" t="str">
            <v>A3.1</v>
          </cell>
        </row>
        <row r="117">
          <cell r="C117" t="str">
            <v>Bác sĩ chính</v>
          </cell>
          <cell r="D117" t="str">
            <v xml:space="preserve"> </v>
          </cell>
          <cell r="E117">
            <v>4.4000000000000004</v>
          </cell>
          <cell r="F117">
            <v>0.34</v>
          </cell>
          <cell r="G117" t="str">
            <v>A2</v>
          </cell>
          <cell r="H117" t="str">
            <v>A2.1</v>
          </cell>
        </row>
        <row r="118">
          <cell r="C118" t="str">
            <v>Bác sĩ</v>
          </cell>
          <cell r="D118" t="str">
            <v>16.118</v>
          </cell>
          <cell r="E118">
            <v>2.34</v>
          </cell>
          <cell r="F118">
            <v>0.33</v>
          </cell>
          <cell r="G118" t="str">
            <v>A1</v>
          </cell>
          <cell r="H118" t="str">
            <v>- - -</v>
          </cell>
        </row>
        <row r="119">
          <cell r="C119" t="str">
            <v>Y sĩ</v>
          </cell>
          <cell r="D119" t="str">
            <v>16.119</v>
          </cell>
          <cell r="E119">
            <v>1.86</v>
          </cell>
          <cell r="F119">
            <v>0.2</v>
          </cell>
          <cell r="G119" t="str">
            <v>B</v>
          </cell>
          <cell r="H119" t="str">
            <v>- - -</v>
          </cell>
        </row>
        <row r="120">
          <cell r="C120" t="str">
            <v>Biên tập viên cao cấp</v>
          </cell>
          <cell r="D120" t="str">
            <v>17.139</v>
          </cell>
          <cell r="E120">
            <v>6.2</v>
          </cell>
          <cell r="F120">
            <v>0.36</v>
          </cell>
          <cell r="G120" t="str">
            <v>A3</v>
          </cell>
          <cell r="H120" t="str">
            <v>A3.1</v>
          </cell>
        </row>
        <row r="121">
          <cell r="C121" t="str">
            <v>Biên tập viên</v>
          </cell>
          <cell r="D121" t="str">
            <v>17.141</v>
          </cell>
          <cell r="E121">
            <v>2.34</v>
          </cell>
          <cell r="F121">
            <v>0.33</v>
          </cell>
          <cell r="G121" t="str">
            <v>A1</v>
          </cell>
          <cell r="H121" t="str">
            <v>- - -</v>
          </cell>
        </row>
        <row r="122">
          <cell r="C122" t="str">
            <v>Phóng viên cao cấp</v>
          </cell>
          <cell r="D122" t="str">
            <v>17.142</v>
          </cell>
          <cell r="E122">
            <v>6.2</v>
          </cell>
          <cell r="F122">
            <v>0.36</v>
          </cell>
          <cell r="G122" t="str">
            <v>A3</v>
          </cell>
          <cell r="H122" t="str">
            <v>A3.1</v>
          </cell>
        </row>
        <row r="123">
          <cell r="C123" t="str">
            <v>Phóng viên</v>
          </cell>
          <cell r="D123" t="str">
            <v>17.144</v>
          </cell>
          <cell r="E123">
            <v>2.34</v>
          </cell>
          <cell r="F123">
            <v>0.33</v>
          </cell>
          <cell r="G123" t="str">
            <v>A1</v>
          </cell>
          <cell r="H123" t="str">
            <v>- - -</v>
          </cell>
        </row>
        <row r="125">
          <cell r="C125" t="str">
            <v>Thư viện viên chính</v>
          </cell>
          <cell r="D125" t="str">
            <v>17.169</v>
          </cell>
          <cell r="E125">
            <v>4</v>
          </cell>
          <cell r="F125">
            <v>0.34</v>
          </cell>
          <cell r="G125" t="str">
            <v>A2</v>
          </cell>
          <cell r="H125" t="str">
            <v>A2.2</v>
          </cell>
        </row>
        <row r="126">
          <cell r="C126" t="str">
            <v>Thư viện viên</v>
          </cell>
          <cell r="D126" t="str">
            <v>17.170</v>
          </cell>
          <cell r="E126">
            <v>2.34</v>
          </cell>
          <cell r="F126">
            <v>0.33</v>
          </cell>
          <cell r="G126" t="str">
            <v>A1</v>
          </cell>
          <cell r="H126" t="str">
            <v>- - -</v>
          </cell>
        </row>
        <row r="127">
          <cell r="C127" t="str">
            <v>Thư viện viên trung cấp</v>
          </cell>
          <cell r="D127" t="str">
            <v>17.171</v>
          </cell>
          <cell r="E127">
            <v>1.86</v>
          </cell>
          <cell r="F127">
            <v>0.2</v>
          </cell>
          <cell r="G127" t="str">
            <v>B</v>
          </cell>
          <cell r="H127" t="str">
            <v>- - -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.DL-New 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59"/>
  <sheetViews>
    <sheetView view="pageBreakPreview" topLeftCell="B27" zoomScale="115" zoomScaleNormal="100" zoomScaleSheetLayoutView="115" workbookViewId="0">
      <selection activeCell="B32" sqref="A32:XFD32"/>
    </sheetView>
  </sheetViews>
  <sheetFormatPr defaultRowHeight="12.75" x14ac:dyDescent="0.2"/>
  <cols>
    <col min="1" max="1" width="5.7109375" style="800" hidden="1" customWidth="1"/>
    <col min="2" max="2" width="3.5703125" style="2111" customWidth="1"/>
    <col min="3" max="3" width="5" style="800" hidden="1" customWidth="1"/>
    <col min="4" max="4" width="7.140625" style="2112" hidden="1" customWidth="1"/>
    <col min="5" max="5" width="16.42578125" style="2113" customWidth="1"/>
    <col min="6" max="6" width="3.42578125" style="1445" customWidth="1"/>
    <col min="7" max="7" width="5.5703125" style="719" hidden="1" customWidth="1"/>
    <col min="8" max="8" width="0.85546875" style="719" hidden="1" customWidth="1"/>
    <col min="9" max="9" width="4.5703125" style="719" hidden="1" customWidth="1"/>
    <col min="10" max="10" width="1.5703125" style="837" hidden="1" customWidth="1"/>
    <col min="11" max="12" width="7.140625" style="837" hidden="1" customWidth="1"/>
    <col min="13" max="13" width="4.7109375" style="837" customWidth="1"/>
    <col min="14" max="14" width="7.140625" style="837" hidden="1" customWidth="1"/>
    <col min="15" max="16" width="3" style="837" hidden="1" customWidth="1"/>
    <col min="17" max="17" width="3" style="2114" hidden="1" customWidth="1"/>
    <col min="18" max="18" width="18.140625" style="2115" hidden="1" customWidth="1"/>
    <col min="19" max="19" width="23.140625" style="2116" customWidth="1"/>
    <col min="20" max="20" width="2.28515625" style="2116" hidden="1" customWidth="1"/>
    <col min="21" max="21" width="10.7109375" style="2117" hidden="1" customWidth="1"/>
    <col min="22" max="22" width="1.140625" style="2118" hidden="1" customWidth="1"/>
    <col min="23" max="23" width="11.140625" style="761" customWidth="1"/>
    <col min="24" max="24" width="8.7109375" style="2119" customWidth="1"/>
    <col min="25" max="25" width="8" style="2120" hidden="1" customWidth="1"/>
    <col min="26" max="26" width="7.85546875" style="2120" hidden="1" customWidth="1"/>
    <col min="27" max="27" width="3.28515625" style="2121" hidden="1" customWidth="1"/>
    <col min="28" max="28" width="2.85546875" style="2121" customWidth="1"/>
    <col min="29" max="29" width="1.7109375" style="2122" customWidth="1"/>
    <col min="30" max="30" width="2.5703125" style="2123" customWidth="1"/>
    <col min="31" max="31" width="4.140625" style="2124" customWidth="1"/>
    <col min="32" max="32" width="4" style="2124" customWidth="1"/>
    <col min="33" max="33" width="2.28515625" style="2124" customWidth="1"/>
    <col min="34" max="34" width="0.42578125" style="2123" hidden="1" customWidth="1"/>
    <col min="35" max="35" width="0.140625" style="2125" customWidth="1"/>
    <col min="36" max="36" width="3.140625" style="2126" customWidth="1"/>
    <col min="37" max="37" width="1.28515625" style="2122" customWidth="1"/>
    <col min="38" max="38" width="5.42578125" style="2127" customWidth="1"/>
    <col min="39" max="39" width="5.140625" style="2127" customWidth="1"/>
    <col min="40" max="40" width="9" style="2127" customWidth="1"/>
    <col min="41" max="41" width="2.85546875" style="2128" customWidth="1"/>
    <col min="42" max="42" width="1.5703125" style="2122" customWidth="1"/>
    <col min="43" max="43" width="2.5703125" style="2129" customWidth="1"/>
    <col min="44" max="44" width="5.28515625" style="2130" customWidth="1"/>
    <col min="45" max="45" width="2" style="2130" customWidth="1"/>
    <col min="46" max="46" width="2.85546875" style="2123" hidden="1" customWidth="1"/>
    <col min="47" max="47" width="0.85546875" style="2125" hidden="1" customWidth="1"/>
    <col min="48" max="48" width="2.7109375" style="2126" customWidth="1"/>
    <col min="49" max="49" width="1" style="2122" customWidth="1"/>
    <col min="50" max="50" width="4.5703125" style="2127" customWidth="1"/>
    <col min="51" max="51" width="6.7109375" style="2131" customWidth="1"/>
    <col min="52" max="52" width="9.140625" style="2126" customWidth="1"/>
    <col min="53" max="53" width="5.140625" style="2132" customWidth="1"/>
    <col min="54" max="54" width="10.85546875" style="2121" customWidth="1"/>
    <col min="55" max="55" width="4.7109375" style="2133" customWidth="1"/>
    <col min="56" max="56" width="3.42578125" style="2123" customWidth="1"/>
    <col min="57" max="57" width="5.85546875" style="2134" customWidth="1"/>
    <col min="58" max="58" width="4.42578125" style="2128" customWidth="1"/>
    <col min="59" max="59" width="4.140625" style="2123" customWidth="1"/>
    <col min="60" max="60" width="4.7109375" style="2128" customWidth="1"/>
    <col min="61" max="61" width="7.5703125" style="2134" customWidth="1"/>
    <col min="62" max="62" width="10" style="2123" customWidth="1"/>
    <col min="63" max="63" width="8.7109375" style="2135" customWidth="1"/>
    <col min="64" max="64" width="4.7109375" style="2136" customWidth="1"/>
    <col min="65" max="65" width="4.5703125" style="2137" customWidth="1"/>
    <col min="66" max="66" width="2.42578125" style="2132" customWidth="1"/>
    <col min="67" max="67" width="7" style="2132" customWidth="1"/>
    <col min="68" max="68" width="3" style="2132" customWidth="1"/>
    <col min="69" max="69" width="4.7109375" style="2132" customWidth="1"/>
    <col min="70" max="70" width="5.5703125" style="2138" customWidth="1"/>
    <col min="71" max="71" width="0.5703125" style="2139" customWidth="1"/>
    <col min="72" max="72" width="6.42578125" style="2134" customWidth="1"/>
    <col min="73" max="73" width="5.42578125" style="2117" customWidth="1"/>
    <col min="74" max="74" width="8.85546875" style="2112" customWidth="1"/>
    <col min="75" max="75" width="9.5703125" style="2112" customWidth="1"/>
    <col min="76" max="76" width="41.28515625" style="2140" customWidth="1"/>
    <col min="77" max="77" width="50.140625" style="2140" customWidth="1"/>
    <col min="78" max="78" width="14" style="800" customWidth="1"/>
    <col min="79" max="79" width="8.5703125" style="2141" customWidth="1"/>
    <col min="80" max="80" width="4.7109375" style="2140" customWidth="1"/>
    <col min="81" max="81" width="4.7109375" style="2132" customWidth="1"/>
    <col min="82" max="82" width="7.140625" style="2126" customWidth="1"/>
    <col min="83" max="83" width="5.7109375" style="2142" customWidth="1"/>
    <col min="84" max="84" width="5.140625" style="800" customWidth="1"/>
    <col min="85" max="87" width="9.28515625" style="2132" bestFit="1" customWidth="1"/>
    <col min="88" max="88" width="9.140625" style="2132"/>
    <col min="89" max="98" width="9.28515625" style="2132" bestFit="1" customWidth="1"/>
    <col min="99" max="101" width="9.140625" style="2132"/>
    <col min="102" max="103" width="9.28515625" style="2132" bestFit="1" customWidth="1"/>
    <col min="104" max="104" width="11.7109375" style="2132" bestFit="1" customWidth="1"/>
    <col min="105" max="105" width="9.140625" style="2132"/>
    <col min="106" max="106" width="18.28515625" style="2132" customWidth="1"/>
    <col min="107" max="107" width="9.28515625" style="2132" bestFit="1" customWidth="1"/>
    <col min="108" max="120" width="9.140625" style="2132"/>
    <col min="121" max="121" width="9.28515625" style="2132" bestFit="1" customWidth="1"/>
    <col min="122" max="122" width="9.140625" style="2132"/>
    <col min="123" max="123" width="9.28515625" style="2132" bestFit="1" customWidth="1"/>
    <col min="124" max="127" width="9.140625" style="2132"/>
    <col min="128" max="128" width="9.28515625" style="2132" bestFit="1" customWidth="1"/>
    <col min="129" max="16384" width="9.140625" style="2132"/>
  </cols>
  <sheetData>
    <row r="1" spans="1:144" s="1285" customFormat="1" ht="18.75" customHeight="1" x14ac:dyDescent="0.2">
      <c r="A1" s="1281"/>
      <c r="B1" s="2283" t="s">
        <v>415</v>
      </c>
      <c r="C1" s="2283"/>
      <c r="D1" s="2283"/>
      <c r="E1" s="2283"/>
      <c r="F1" s="2283"/>
      <c r="G1" s="2283"/>
      <c r="H1" s="2283"/>
      <c r="I1" s="2283"/>
      <c r="J1" s="2283"/>
      <c r="K1" s="2283"/>
      <c r="L1" s="2283"/>
      <c r="M1" s="2283"/>
      <c r="N1" s="2283"/>
      <c r="O1" s="2283"/>
      <c r="P1" s="2283"/>
      <c r="Q1" s="2283"/>
      <c r="R1" s="2283"/>
      <c r="S1" s="2283"/>
      <c r="T1" s="1282"/>
      <c r="U1" s="1283"/>
      <c r="V1" s="2284" t="s">
        <v>222</v>
      </c>
      <c r="W1" s="2284"/>
      <c r="X1" s="2284"/>
      <c r="Y1" s="2284"/>
      <c r="Z1" s="2284"/>
      <c r="AA1" s="2284"/>
      <c r="AB1" s="2284"/>
      <c r="AC1" s="2284"/>
      <c r="AD1" s="2284"/>
      <c r="AE1" s="2284"/>
      <c r="AF1" s="2284"/>
      <c r="AG1" s="2284"/>
      <c r="AH1" s="2284"/>
      <c r="AI1" s="2284"/>
      <c r="AJ1" s="2284"/>
      <c r="AK1" s="2284"/>
      <c r="AL1" s="2284"/>
      <c r="AM1" s="2284"/>
      <c r="AN1" s="2284"/>
      <c r="AO1" s="2284"/>
      <c r="AP1" s="2284"/>
      <c r="AQ1" s="2284"/>
      <c r="AR1" s="2286" t="s">
        <v>617</v>
      </c>
      <c r="AS1" s="2286"/>
      <c r="AT1" s="2286"/>
      <c r="AU1" s="2286"/>
      <c r="AV1" s="2286"/>
      <c r="AW1" s="2286"/>
      <c r="AX1" s="2286"/>
      <c r="AY1" s="1284"/>
      <c r="BV1" s="1286"/>
      <c r="BW1" s="1286"/>
    </row>
    <row r="2" spans="1:144" s="1285" customFormat="1" x14ac:dyDescent="0.2">
      <c r="A2" s="1281"/>
      <c r="B2" s="2284" t="s">
        <v>566</v>
      </c>
      <c r="C2" s="2284"/>
      <c r="D2" s="2284"/>
      <c r="E2" s="2284"/>
      <c r="F2" s="2284"/>
      <c r="G2" s="2284"/>
      <c r="H2" s="2284"/>
      <c r="I2" s="2284"/>
      <c r="J2" s="2284"/>
      <c r="K2" s="2284"/>
      <c r="L2" s="2284"/>
      <c r="M2" s="2284"/>
      <c r="N2" s="2284"/>
      <c r="O2" s="2284"/>
      <c r="P2" s="2284"/>
      <c r="Q2" s="2284"/>
      <c r="R2" s="2284"/>
      <c r="S2" s="2284"/>
      <c r="T2" s="1282"/>
      <c r="U2" s="1283"/>
      <c r="V2" s="2284" t="s">
        <v>223</v>
      </c>
      <c r="W2" s="2284"/>
      <c r="X2" s="2284"/>
      <c r="Y2" s="2284"/>
      <c r="Z2" s="2284"/>
      <c r="AA2" s="2284"/>
      <c r="AB2" s="2284"/>
      <c r="AC2" s="2284"/>
      <c r="AD2" s="2284"/>
      <c r="AE2" s="2284"/>
      <c r="AF2" s="2284"/>
      <c r="AG2" s="2284"/>
      <c r="AH2" s="2284"/>
      <c r="AI2" s="2284"/>
      <c r="AJ2" s="2284"/>
      <c r="AK2" s="2284"/>
      <c r="AL2" s="2284"/>
      <c r="AM2" s="2284"/>
      <c r="AN2" s="2284"/>
      <c r="AO2" s="2284"/>
      <c r="AP2" s="2284"/>
      <c r="AQ2" s="2284"/>
      <c r="AR2" s="1287"/>
      <c r="AS2" s="1282"/>
      <c r="AT2" s="1282"/>
      <c r="AU2" s="1288"/>
      <c r="AV2" s="1282"/>
      <c r="AW2" s="1288"/>
      <c r="AX2" s="1282"/>
      <c r="AY2" s="1284"/>
      <c r="BV2" s="1286"/>
      <c r="BW2" s="1286"/>
    </row>
    <row r="3" spans="1:144" s="904" customFormat="1" ht="21.75" customHeight="1" x14ac:dyDescent="0.2">
      <c r="A3" s="901"/>
      <c r="B3" s="901"/>
      <c r="C3" s="901"/>
      <c r="D3" s="902"/>
      <c r="E3" s="901"/>
      <c r="F3" s="903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2"/>
      <c r="R3" s="892"/>
      <c r="S3" s="1289"/>
      <c r="T3" s="1289"/>
      <c r="U3" s="1290"/>
      <c r="V3" s="2282" t="s">
        <v>668</v>
      </c>
      <c r="W3" s="2282"/>
      <c r="X3" s="2282"/>
      <c r="Y3" s="2282"/>
      <c r="Z3" s="2282"/>
      <c r="AA3" s="2282"/>
      <c r="AB3" s="2282"/>
      <c r="AC3" s="2282"/>
      <c r="AD3" s="2282"/>
      <c r="AE3" s="2282"/>
      <c r="AF3" s="2282"/>
      <c r="AG3" s="2282"/>
      <c r="AH3" s="2282"/>
      <c r="AI3" s="2282"/>
      <c r="AJ3" s="2282"/>
      <c r="AK3" s="2282"/>
      <c r="AL3" s="2282"/>
      <c r="AM3" s="2282"/>
      <c r="AN3" s="2282"/>
      <c r="AO3" s="2282"/>
      <c r="AP3" s="2282"/>
      <c r="AQ3" s="2282"/>
      <c r="AR3" s="1291"/>
      <c r="AS3" s="1292"/>
      <c r="AT3" s="1292"/>
      <c r="AU3" s="1293"/>
      <c r="AV3" s="1292"/>
      <c r="AW3" s="1293"/>
      <c r="AX3" s="1292"/>
      <c r="AY3" s="1294"/>
      <c r="AZ3" s="1292"/>
      <c r="BA3" s="1292"/>
      <c r="BB3" s="1292"/>
      <c r="BC3" s="1292"/>
      <c r="BD3" s="1292"/>
      <c r="BE3" s="1292"/>
      <c r="BF3" s="1292"/>
      <c r="BG3" s="1292"/>
      <c r="BH3" s="1292"/>
      <c r="BI3" s="1292"/>
      <c r="BJ3" s="1292"/>
      <c r="BK3" s="1292"/>
      <c r="BL3" s="1292"/>
      <c r="BM3" s="1292"/>
      <c r="BN3" s="1292"/>
      <c r="BO3" s="1292"/>
      <c r="BP3" s="1292"/>
      <c r="BQ3" s="1292"/>
      <c r="BR3" s="1292"/>
      <c r="BS3" s="1292"/>
      <c r="BU3" s="1292"/>
      <c r="BV3" s="1295"/>
      <c r="BW3" s="1295"/>
      <c r="BY3" s="1296"/>
    </row>
    <row r="4" spans="1:144" s="904" customFormat="1" ht="31.5" customHeight="1" x14ac:dyDescent="0.2">
      <c r="A4" s="1297"/>
      <c r="B4" s="2285" t="s">
        <v>669</v>
      </c>
      <c r="C4" s="2285"/>
      <c r="D4" s="2285"/>
      <c r="E4" s="2285"/>
      <c r="F4" s="2285"/>
      <c r="G4" s="2285"/>
      <c r="H4" s="2285"/>
      <c r="I4" s="2285"/>
      <c r="J4" s="2285"/>
      <c r="K4" s="2285"/>
      <c r="L4" s="2285"/>
      <c r="M4" s="2285"/>
      <c r="N4" s="2285"/>
      <c r="O4" s="2285"/>
      <c r="P4" s="2285"/>
      <c r="Q4" s="2285"/>
      <c r="R4" s="2285"/>
      <c r="S4" s="2285"/>
      <c r="T4" s="2285"/>
      <c r="U4" s="2285"/>
      <c r="V4" s="2285"/>
      <c r="W4" s="2285"/>
      <c r="X4" s="2285"/>
      <c r="Y4" s="2285"/>
      <c r="Z4" s="2285"/>
      <c r="AA4" s="2285"/>
      <c r="AB4" s="2285"/>
      <c r="AC4" s="2285"/>
      <c r="AD4" s="2285"/>
      <c r="AE4" s="2285"/>
      <c r="AF4" s="2285"/>
      <c r="AG4" s="2285"/>
      <c r="AH4" s="2285"/>
      <c r="AI4" s="2285"/>
      <c r="AJ4" s="2285"/>
      <c r="AK4" s="2285"/>
      <c r="AL4" s="2285"/>
      <c r="AM4" s="2285"/>
      <c r="AN4" s="2285"/>
      <c r="AO4" s="2285"/>
      <c r="AP4" s="2285"/>
      <c r="AQ4" s="2285"/>
      <c r="AR4" s="2285"/>
      <c r="AS4" s="2285"/>
      <c r="AT4" s="2285"/>
      <c r="AU4" s="2285"/>
      <c r="AV4" s="2285"/>
      <c r="AW4" s="2285"/>
      <c r="AX4" s="2285"/>
      <c r="AY4" s="2285"/>
      <c r="AZ4" s="907"/>
      <c r="BA4" s="907"/>
      <c r="BB4" s="907"/>
      <c r="BC4" s="907"/>
      <c r="BD4" s="907"/>
      <c r="BE4" s="907"/>
      <c r="BF4" s="907"/>
      <c r="BG4" s="907"/>
      <c r="BH4" s="907"/>
      <c r="BI4" s="907"/>
      <c r="BJ4" s="907"/>
      <c r="BK4" s="907"/>
      <c r="BL4" s="907"/>
      <c r="BM4" s="907"/>
      <c r="BN4" s="907"/>
      <c r="BO4" s="907"/>
      <c r="BP4" s="907"/>
      <c r="BQ4" s="907"/>
      <c r="BR4" s="907"/>
      <c r="BS4" s="907"/>
      <c r="BT4" s="907"/>
      <c r="BU4" s="907"/>
      <c r="BV4" s="1295"/>
      <c r="BW4" s="1298"/>
      <c r="BX4" s="1298"/>
      <c r="BY4" s="1296"/>
    </row>
    <row r="5" spans="1:144" s="1312" customFormat="1" ht="24.75" customHeight="1" x14ac:dyDescent="0.2">
      <c r="A5" s="1299"/>
      <c r="B5" s="2354" t="s">
        <v>667</v>
      </c>
      <c r="C5" s="2355"/>
      <c r="D5" s="2355"/>
      <c r="E5" s="2355"/>
      <c r="F5" s="2355"/>
      <c r="G5" s="2355"/>
      <c r="H5" s="2355"/>
      <c r="I5" s="2355"/>
      <c r="J5" s="2355"/>
      <c r="K5" s="2355"/>
      <c r="L5" s="2355"/>
      <c r="M5" s="2355"/>
      <c r="N5" s="2355"/>
      <c r="O5" s="2355"/>
      <c r="P5" s="2355"/>
      <c r="Q5" s="2355"/>
      <c r="R5" s="2355"/>
      <c r="S5" s="2355"/>
      <c r="T5" s="2355"/>
      <c r="U5" s="2355"/>
      <c r="V5" s="2355"/>
      <c r="W5" s="2355"/>
      <c r="X5" s="2355"/>
      <c r="Y5" s="2355"/>
      <c r="Z5" s="2355"/>
      <c r="AA5" s="2355"/>
      <c r="AB5" s="2355"/>
      <c r="AC5" s="2355"/>
      <c r="AD5" s="2355"/>
      <c r="AE5" s="2355"/>
      <c r="AF5" s="2355"/>
      <c r="AG5" s="2355"/>
      <c r="AH5" s="2355"/>
      <c r="AI5" s="2355"/>
      <c r="AJ5" s="2355"/>
      <c r="AK5" s="2355"/>
      <c r="AL5" s="2355"/>
      <c r="AM5" s="2355"/>
      <c r="AN5" s="2355"/>
      <c r="AO5" s="2355"/>
      <c r="AP5" s="2355"/>
      <c r="AQ5" s="2355"/>
      <c r="AR5" s="2355"/>
      <c r="AS5" s="2355"/>
      <c r="AT5" s="2355"/>
      <c r="AU5" s="2355"/>
      <c r="AV5" s="2355"/>
      <c r="AW5" s="2355"/>
      <c r="AX5" s="2355"/>
      <c r="AY5" s="2355"/>
      <c r="AZ5" s="1300"/>
      <c r="BA5" s="1301"/>
      <c r="BB5" s="1302"/>
      <c r="BC5" s="1303"/>
      <c r="BD5" s="1301"/>
      <c r="BE5" s="1304"/>
      <c r="BF5" s="1305"/>
      <c r="BG5" s="1306"/>
      <c r="BH5" s="1302"/>
      <c r="BI5" s="1302"/>
      <c r="BJ5" s="1307"/>
      <c r="BK5" s="1307"/>
      <c r="BL5" s="1300"/>
      <c r="BM5" s="1308"/>
      <c r="BN5" s="1309"/>
      <c r="BO5" s="1309"/>
      <c r="BP5" s="1310"/>
      <c r="BQ5" s="1311"/>
      <c r="BR5" s="1311"/>
      <c r="BS5" s="1311"/>
      <c r="BT5" s="1311"/>
      <c r="BU5" s="909"/>
      <c r="BW5" s="1310"/>
      <c r="BX5" s="1310"/>
      <c r="BY5" s="1310"/>
      <c r="BZ5" s="1310"/>
    </row>
    <row r="6" spans="1:144" s="1312" customFormat="1" ht="16.5" customHeight="1" x14ac:dyDescent="0.2">
      <c r="A6" s="1299"/>
      <c r="B6" s="2356" t="s">
        <v>670</v>
      </c>
      <c r="C6" s="2355"/>
      <c r="D6" s="2355"/>
      <c r="E6" s="2355"/>
      <c r="F6" s="2355"/>
      <c r="G6" s="2355"/>
      <c r="H6" s="2355"/>
      <c r="I6" s="2355"/>
      <c r="J6" s="2355"/>
      <c r="K6" s="2355"/>
      <c r="L6" s="2355"/>
      <c r="M6" s="2355"/>
      <c r="N6" s="2355"/>
      <c r="O6" s="2355"/>
      <c r="P6" s="2355"/>
      <c r="Q6" s="2355"/>
      <c r="R6" s="2355"/>
      <c r="S6" s="2355"/>
      <c r="T6" s="2355"/>
      <c r="U6" s="2355"/>
      <c r="V6" s="2355"/>
      <c r="W6" s="2355"/>
      <c r="X6" s="2355"/>
      <c r="Y6" s="2355"/>
      <c r="Z6" s="2355"/>
      <c r="AA6" s="2355"/>
      <c r="AB6" s="2355"/>
      <c r="AC6" s="2355"/>
      <c r="AD6" s="2355"/>
      <c r="AE6" s="2355"/>
      <c r="AF6" s="2355"/>
      <c r="AG6" s="2355"/>
      <c r="AH6" s="2355"/>
      <c r="AI6" s="2355"/>
      <c r="AJ6" s="2355"/>
      <c r="AK6" s="2355"/>
      <c r="AL6" s="2355"/>
      <c r="AM6" s="2355"/>
      <c r="AN6" s="2355"/>
      <c r="AO6" s="2355"/>
      <c r="AP6" s="2355"/>
      <c r="AQ6" s="2355"/>
      <c r="AR6" s="2355"/>
      <c r="AS6" s="2355"/>
      <c r="AT6" s="2355"/>
      <c r="AU6" s="2355"/>
      <c r="AV6" s="2355"/>
      <c r="AW6" s="2355"/>
      <c r="AX6" s="2355"/>
      <c r="AY6" s="2355"/>
      <c r="AZ6" s="1300"/>
      <c r="BA6" s="1301"/>
      <c r="BB6" s="1302"/>
      <c r="BC6" s="1303"/>
      <c r="BD6" s="1301"/>
      <c r="BE6" s="1304"/>
      <c r="BF6" s="1305"/>
      <c r="BG6" s="1306"/>
      <c r="BH6" s="1302"/>
      <c r="BI6" s="1302"/>
      <c r="BJ6" s="1307"/>
      <c r="BK6" s="1307"/>
      <c r="BL6" s="1300"/>
      <c r="BM6" s="1308"/>
      <c r="BN6" s="1309"/>
      <c r="BO6" s="1309"/>
      <c r="BP6" s="1310"/>
      <c r="BQ6" s="1311"/>
      <c r="BR6" s="1311"/>
      <c r="BS6" s="1311"/>
      <c r="BT6" s="1311"/>
      <c r="BU6" s="909"/>
      <c r="BW6" s="1310"/>
      <c r="BX6" s="1310"/>
      <c r="BY6" s="1310"/>
      <c r="BZ6" s="1310"/>
    </row>
    <row r="7" spans="1:144" s="1330" customFormat="1" ht="18" customHeight="1" x14ac:dyDescent="0.2">
      <c r="A7" s="1313"/>
      <c r="B7" s="1314"/>
      <c r="C7" s="1314"/>
      <c r="D7" s="1315" t="s">
        <v>315</v>
      </c>
      <c r="E7" s="1316" t="s">
        <v>315</v>
      </c>
      <c r="F7" s="1317" t="s">
        <v>665</v>
      </c>
      <c r="G7" s="889"/>
      <c r="H7" s="889"/>
      <c r="I7" s="890"/>
      <c r="J7" s="891"/>
      <c r="K7" s="891"/>
      <c r="L7" s="891"/>
      <c r="M7" s="888"/>
      <c r="N7" s="891"/>
      <c r="O7" s="891"/>
      <c r="P7" s="891"/>
      <c r="Q7" s="1318" t="s">
        <v>451</v>
      </c>
      <c r="R7" s="888" t="s">
        <v>316</v>
      </c>
      <c r="S7" s="888"/>
      <c r="T7" s="888"/>
      <c r="U7" s="888"/>
      <c r="V7" s="888"/>
      <c r="W7" s="888"/>
      <c r="X7" s="888"/>
      <c r="Y7" s="888"/>
      <c r="Z7" s="888"/>
      <c r="AA7" s="888"/>
      <c r="AB7" s="889"/>
      <c r="AC7" s="888"/>
      <c r="AD7" s="889"/>
      <c r="AE7" s="888"/>
      <c r="AF7" s="888"/>
      <c r="AG7" s="888"/>
      <c r="AH7" s="1319"/>
      <c r="AI7" s="1320"/>
      <c r="AJ7" s="1321"/>
      <c r="AK7" s="1320"/>
      <c r="AL7" s="891"/>
      <c r="AM7" s="1322"/>
      <c r="AN7" s="892"/>
      <c r="AO7" s="888"/>
      <c r="AP7" s="888"/>
      <c r="AQ7" s="1323"/>
      <c r="AR7" s="1324"/>
      <c r="AS7" s="1325"/>
      <c r="AT7" s="1319"/>
      <c r="AU7" s="1320"/>
      <c r="AV7" s="1321"/>
      <c r="AW7" s="1320"/>
      <c r="AX7" s="891"/>
      <c r="AY7" s="1326"/>
      <c r="AZ7" s="897"/>
      <c r="BA7" s="897"/>
      <c r="BB7" s="897"/>
      <c r="BC7" s="897"/>
      <c r="BD7" s="897"/>
      <c r="BE7" s="897"/>
      <c r="BF7" s="897"/>
      <c r="BG7" s="897"/>
      <c r="BH7" s="897"/>
      <c r="BI7" s="897"/>
      <c r="BJ7" s="897"/>
      <c r="BK7" s="897"/>
      <c r="BL7" s="897"/>
      <c r="BM7" s="897"/>
      <c r="BN7" s="897"/>
      <c r="BO7" s="897"/>
      <c r="BP7" s="897"/>
      <c r="BQ7" s="897"/>
      <c r="BR7" s="897"/>
      <c r="BS7" s="897"/>
      <c r="BT7" s="897"/>
      <c r="BU7" s="1327"/>
      <c r="BV7" s="1328"/>
      <c r="BW7" s="1329"/>
      <c r="BY7" s="1331"/>
    </row>
    <row r="8" spans="1:144" s="1337" customFormat="1" ht="5.25" customHeight="1" x14ac:dyDescent="0.2">
      <c r="A8" s="1319"/>
      <c r="B8" s="1314"/>
      <c r="C8" s="1314"/>
      <c r="D8" s="1332"/>
      <c r="E8" s="893"/>
      <c r="F8" s="1333"/>
      <c r="G8" s="889"/>
      <c r="H8" s="889"/>
      <c r="I8" s="890"/>
      <c r="J8" s="891"/>
      <c r="K8" s="891"/>
      <c r="L8" s="891"/>
      <c r="M8" s="891"/>
      <c r="N8" s="891"/>
      <c r="O8" s="891"/>
      <c r="P8" s="891"/>
      <c r="Q8" s="1318"/>
      <c r="R8" s="888"/>
      <c r="S8" s="888"/>
      <c r="T8" s="888"/>
      <c r="U8" s="888"/>
      <c r="V8" s="888"/>
      <c r="W8" s="888"/>
      <c r="X8" s="888"/>
      <c r="Y8" s="888"/>
      <c r="Z8" s="888"/>
      <c r="AA8" s="888"/>
      <c r="AB8" s="888"/>
      <c r="AC8" s="888"/>
      <c r="AD8" s="889"/>
      <c r="AE8" s="888"/>
      <c r="AF8" s="888"/>
      <c r="AG8" s="888"/>
      <c r="AH8" s="1319"/>
      <c r="AI8" s="1320"/>
      <c r="AJ8" s="1321"/>
      <c r="AK8" s="1320"/>
      <c r="AL8" s="891"/>
      <c r="AM8" s="1322"/>
      <c r="AN8" s="892"/>
      <c r="AO8" s="888"/>
      <c r="AP8" s="888"/>
      <c r="AQ8" s="1323"/>
      <c r="AR8" s="1324"/>
      <c r="AS8" s="1325"/>
      <c r="AT8" s="1319"/>
      <c r="AU8" s="1320"/>
      <c r="AV8" s="1321"/>
      <c r="AW8" s="1320"/>
      <c r="AX8" s="891"/>
      <c r="AY8" s="1326"/>
      <c r="AZ8" s="897"/>
      <c r="BA8" s="897"/>
      <c r="BB8" s="897"/>
      <c r="BC8" s="897"/>
      <c r="BD8" s="897"/>
      <c r="BE8" s="897"/>
      <c r="BF8" s="897"/>
      <c r="BG8" s="897"/>
      <c r="BH8" s="897"/>
      <c r="BI8" s="897"/>
      <c r="BJ8" s="897"/>
      <c r="BK8" s="897"/>
      <c r="BL8" s="897"/>
      <c r="BM8" s="897"/>
      <c r="BN8" s="897"/>
      <c r="BO8" s="897"/>
      <c r="BP8" s="897"/>
      <c r="BQ8" s="897"/>
      <c r="BR8" s="897"/>
      <c r="BS8" s="897"/>
      <c r="BT8" s="897"/>
      <c r="BU8" s="1334"/>
      <c r="BV8" s="1335"/>
      <c r="BW8" s="1336"/>
      <c r="BY8" s="1338"/>
    </row>
    <row r="9" spans="1:144" s="1347" customFormat="1" ht="24" customHeight="1" x14ac:dyDescent="0.2">
      <c r="A9" s="1339"/>
      <c r="B9" s="2320" t="s">
        <v>537</v>
      </c>
      <c r="C9" s="1340"/>
      <c r="D9" s="2320" t="s">
        <v>111</v>
      </c>
      <c r="E9" s="2320" t="s">
        <v>538</v>
      </c>
      <c r="F9" s="2323" t="s">
        <v>539</v>
      </c>
      <c r="G9" s="1341"/>
      <c r="H9" s="1341"/>
      <c r="I9" s="1341"/>
      <c r="J9" s="1341"/>
      <c r="K9" s="1342"/>
      <c r="L9" s="1342"/>
      <c r="M9" s="2326" t="s">
        <v>643</v>
      </c>
      <c r="N9" s="1342"/>
      <c r="O9" s="1342"/>
      <c r="P9" s="1342"/>
      <c r="Q9" s="1343"/>
      <c r="R9" s="2329" t="s">
        <v>540</v>
      </c>
      <c r="S9" s="2330"/>
      <c r="T9" s="1344"/>
      <c r="U9" s="1345"/>
      <c r="V9" s="2335" t="s">
        <v>551</v>
      </c>
      <c r="W9" s="2329"/>
      <c r="X9" s="2330"/>
      <c r="Y9" s="2320" t="s">
        <v>134</v>
      </c>
      <c r="Z9" s="1340"/>
      <c r="AA9" s="1346" t="s">
        <v>433</v>
      </c>
      <c r="AB9" s="2338" t="s">
        <v>546</v>
      </c>
      <c r="AC9" s="2339"/>
      <c r="AD9" s="2339"/>
      <c r="AE9" s="2339"/>
      <c r="AF9" s="2339"/>
      <c r="AG9" s="2339"/>
      <c r="AH9" s="2339"/>
      <c r="AI9" s="2339"/>
      <c r="AJ9" s="2339"/>
      <c r="AK9" s="2339"/>
      <c r="AL9" s="2340"/>
      <c r="AM9" s="2335" t="s">
        <v>543</v>
      </c>
      <c r="AN9" s="2330"/>
      <c r="AO9" s="2338" t="s">
        <v>550</v>
      </c>
      <c r="AP9" s="2339"/>
      <c r="AQ9" s="2339"/>
      <c r="AR9" s="2339"/>
      <c r="AS9" s="2339"/>
      <c r="AT9" s="2339"/>
      <c r="AU9" s="2339"/>
      <c r="AV9" s="2339"/>
      <c r="AW9" s="2339"/>
      <c r="AX9" s="2340"/>
      <c r="AY9" s="2341" t="s">
        <v>399</v>
      </c>
      <c r="BA9" s="1342"/>
      <c r="BB9" s="1342"/>
      <c r="BC9" s="1342"/>
      <c r="BD9" s="1342"/>
      <c r="BE9" s="1342"/>
      <c r="BF9" s="1342"/>
      <c r="BG9" s="1342"/>
      <c r="BH9" s="1342"/>
      <c r="BI9" s="1342"/>
      <c r="BJ9" s="2314" t="s">
        <v>135</v>
      </c>
      <c r="BK9" s="1342"/>
      <c r="BL9" s="1342"/>
      <c r="BM9" s="1342"/>
      <c r="BN9" s="1342"/>
      <c r="BO9" s="1342"/>
      <c r="BP9" s="1342"/>
      <c r="BQ9" s="1342"/>
      <c r="BR9" s="1342"/>
      <c r="BS9" s="1342"/>
      <c r="BT9" s="2314" t="s">
        <v>135</v>
      </c>
      <c r="BU9" s="2317" t="s">
        <v>399</v>
      </c>
      <c r="BV9" s="1348"/>
      <c r="BW9" s="1349"/>
      <c r="BX9" s="1350"/>
      <c r="BY9" s="1351"/>
      <c r="BZ9" s="1350"/>
      <c r="CA9" s="1352"/>
      <c r="CB9" s="1353"/>
      <c r="CC9" s="1354"/>
      <c r="CD9" s="1355"/>
      <c r="CE9" s="1350"/>
      <c r="CF9" s="1350"/>
      <c r="CW9" s="1356"/>
      <c r="CX9" s="1354"/>
      <c r="CY9" s="1357"/>
      <c r="CZ9" s="1358"/>
      <c r="DA9" s="1359"/>
      <c r="DB9" s="1360"/>
      <c r="DC9" s="1361"/>
      <c r="DD9" s="1359"/>
      <c r="DE9" s="1362"/>
      <c r="DF9" s="1363"/>
      <c r="DG9" s="1363"/>
      <c r="DH9" s="1361"/>
      <c r="DI9" s="1364"/>
      <c r="DJ9" s="1365"/>
    </row>
    <row r="10" spans="1:144" s="1347" customFormat="1" ht="27" customHeight="1" x14ac:dyDescent="0.2">
      <c r="A10" s="1339"/>
      <c r="B10" s="2321"/>
      <c r="C10" s="1340"/>
      <c r="D10" s="2321"/>
      <c r="E10" s="2321"/>
      <c r="F10" s="2324"/>
      <c r="G10" s="1341"/>
      <c r="H10" s="1341"/>
      <c r="I10" s="1341"/>
      <c r="J10" s="1341"/>
      <c r="K10" s="1342"/>
      <c r="L10" s="1342"/>
      <c r="M10" s="2327"/>
      <c r="N10" s="1342"/>
      <c r="O10" s="1342"/>
      <c r="P10" s="1342"/>
      <c r="Q10" s="1366"/>
      <c r="R10" s="2331"/>
      <c r="S10" s="2332"/>
      <c r="T10" s="1344"/>
      <c r="U10" s="1345"/>
      <c r="V10" s="2336"/>
      <c r="W10" s="2331"/>
      <c r="X10" s="2332"/>
      <c r="Y10" s="2321"/>
      <c r="Z10" s="1340"/>
      <c r="AA10" s="2287" t="s">
        <v>489</v>
      </c>
      <c r="AB10" s="2287"/>
      <c r="AC10" s="2287"/>
      <c r="AD10" s="2287"/>
      <c r="AE10" s="2287" t="s">
        <v>460</v>
      </c>
      <c r="AF10" s="2287" t="s">
        <v>535</v>
      </c>
      <c r="AG10" s="2287"/>
      <c r="AH10" s="2344" t="s">
        <v>541</v>
      </c>
      <c r="AI10" s="2345"/>
      <c r="AJ10" s="2345"/>
      <c r="AK10" s="2345"/>
      <c r="AL10" s="2346"/>
      <c r="AM10" s="2337"/>
      <c r="AN10" s="2334"/>
      <c r="AO10" s="2287" t="s">
        <v>489</v>
      </c>
      <c r="AP10" s="2287"/>
      <c r="AQ10" s="2287"/>
      <c r="AR10" s="2287" t="s">
        <v>547</v>
      </c>
      <c r="AS10" s="2287"/>
      <c r="AT10" s="1344"/>
      <c r="AU10" s="1344"/>
      <c r="AV10" s="2287" t="s">
        <v>541</v>
      </c>
      <c r="AW10" s="2287"/>
      <c r="AX10" s="2287"/>
      <c r="AY10" s="2342"/>
      <c r="BA10" s="1342"/>
      <c r="BB10" s="1342"/>
      <c r="BC10" s="1342"/>
      <c r="BD10" s="1342"/>
      <c r="BE10" s="1342"/>
      <c r="BF10" s="1342"/>
      <c r="BG10" s="1342"/>
      <c r="BH10" s="1342"/>
      <c r="BI10" s="1342"/>
      <c r="BJ10" s="2315"/>
      <c r="BK10" s="1342"/>
      <c r="BL10" s="1342"/>
      <c r="BM10" s="1342"/>
      <c r="BN10" s="1342"/>
      <c r="BO10" s="1342"/>
      <c r="BP10" s="1342"/>
      <c r="BQ10" s="1342"/>
      <c r="BR10" s="1342"/>
      <c r="BS10" s="1342"/>
      <c r="BT10" s="2315"/>
      <c r="BU10" s="2318"/>
      <c r="BV10" s="1348"/>
      <c r="BW10" s="1349"/>
      <c r="BX10" s="1350"/>
      <c r="BY10" s="1351"/>
      <c r="BZ10" s="1350"/>
      <c r="CA10" s="1352"/>
      <c r="CB10" s="1353"/>
      <c r="CC10" s="1354"/>
      <c r="CD10" s="1355"/>
      <c r="CE10" s="1350"/>
      <c r="CF10" s="1350"/>
      <c r="CW10" s="1356"/>
      <c r="CX10" s="1354"/>
      <c r="CY10" s="1357"/>
      <c r="CZ10" s="1358"/>
      <c r="DA10" s="1359"/>
      <c r="DB10" s="1360"/>
      <c r="DC10" s="1361"/>
      <c r="DD10" s="1359"/>
      <c r="DE10" s="1362"/>
      <c r="DF10" s="1363"/>
      <c r="DG10" s="1363"/>
      <c r="DH10" s="1361"/>
      <c r="DI10" s="1364"/>
      <c r="DJ10" s="1365"/>
    </row>
    <row r="11" spans="1:144" s="1347" customFormat="1" ht="39" customHeight="1" x14ac:dyDescent="0.2">
      <c r="A11" s="1339">
        <v>163</v>
      </c>
      <c r="B11" s="2322"/>
      <c r="C11" s="1340"/>
      <c r="D11" s="2322"/>
      <c r="E11" s="2322"/>
      <c r="F11" s="2325"/>
      <c r="G11" s="1341"/>
      <c r="H11" s="1341"/>
      <c r="I11" s="1341"/>
      <c r="J11" s="1341"/>
      <c r="K11" s="1342"/>
      <c r="L11" s="1342"/>
      <c r="M11" s="2328"/>
      <c r="N11" s="1342"/>
      <c r="O11" s="1342"/>
      <c r="P11" s="1342"/>
      <c r="Q11" s="1367"/>
      <c r="R11" s="2333"/>
      <c r="S11" s="2334"/>
      <c r="T11" s="1344"/>
      <c r="U11" s="1345"/>
      <c r="V11" s="2337"/>
      <c r="W11" s="2333"/>
      <c r="X11" s="2334"/>
      <c r="Y11" s="2322"/>
      <c r="Z11" s="1340"/>
      <c r="AA11" s="2287"/>
      <c r="AB11" s="2287"/>
      <c r="AC11" s="2287"/>
      <c r="AD11" s="2287"/>
      <c r="AE11" s="2287"/>
      <c r="AF11" s="2287"/>
      <c r="AG11" s="2287"/>
      <c r="AH11" s="2347"/>
      <c r="AI11" s="2348"/>
      <c r="AJ11" s="2348"/>
      <c r="AK11" s="2348"/>
      <c r="AL11" s="2349"/>
      <c r="AM11" s="1368" t="s">
        <v>536</v>
      </c>
      <c r="AN11" s="1369" t="s">
        <v>548</v>
      </c>
      <c r="AO11" s="2287"/>
      <c r="AP11" s="2287"/>
      <c r="AQ11" s="2287"/>
      <c r="AR11" s="2287"/>
      <c r="AS11" s="2287"/>
      <c r="AU11" s="1370"/>
      <c r="AV11" s="2287"/>
      <c r="AW11" s="2287"/>
      <c r="AX11" s="2287"/>
      <c r="AY11" s="2343"/>
      <c r="BA11" s="1342"/>
      <c r="BB11" s="1342"/>
      <c r="BC11" s="1342"/>
      <c r="BD11" s="1342"/>
      <c r="BE11" s="1342"/>
      <c r="BF11" s="1342"/>
      <c r="BG11" s="1342"/>
      <c r="BH11" s="1342"/>
      <c r="BI11" s="1342"/>
      <c r="BJ11" s="2316"/>
      <c r="BK11" s="1342"/>
      <c r="BL11" s="1342"/>
      <c r="BM11" s="1342"/>
      <c r="BN11" s="1342"/>
      <c r="BO11" s="1342"/>
      <c r="BP11" s="1342"/>
      <c r="BQ11" s="1342"/>
      <c r="BR11" s="1342"/>
      <c r="BS11" s="1342"/>
      <c r="BT11" s="2316"/>
      <c r="BU11" s="2319"/>
      <c r="BV11" s="1348"/>
      <c r="BW11" s="1349" t="s">
        <v>455</v>
      </c>
      <c r="BX11" s="1350" t="s">
        <v>456</v>
      </c>
      <c r="BY11" s="1351"/>
      <c r="BZ11" s="1350" t="e">
        <f>IF(AND(#REF!&gt;0,#REF!&lt;(#REF!-1),CA11&gt;0,CA11&lt;13,OR(AND(CC11="Cùg Ng",(#REF!-#REF!)&gt;#REF!),CC11="- - -")),"Sớm TT","=&gt; s")</f>
        <v>#REF!</v>
      </c>
      <c r="CA11" s="1352" t="e">
        <f>IF(#REF!=3,36-(12*(#REF!-#REF!)+(12-#REF!)-#REF!),IF(#REF!=2,24-(12*(#REF!-#REF!)+(12-#REF!)-#REF!),"---"))</f>
        <v>#REF!</v>
      </c>
      <c r="CB11" s="1353"/>
      <c r="CC11" s="1354" t="e">
        <f>IF(#REF!=#REF!,"Cùg Ng","- - -")</f>
        <v>#REF!</v>
      </c>
      <c r="CD11" s="1355" t="str">
        <f>IF(CF11&gt;2000,"NN","- - -")</f>
        <v>- - -</v>
      </c>
      <c r="CE11" s="1350"/>
      <c r="CF11" s="1350"/>
      <c r="CI11" s="1347" t="str">
        <f>IF(CK11&gt;2000,"CN","- - -")</f>
        <v>- - -</v>
      </c>
      <c r="CN11" s="1347" t="e">
        <f>IF(AND(CO11="Hưu",#REF!&lt;(#REF!-1),CV11&gt;0,CV11&lt;18,OR(#REF!&lt;4,AND(#REF!&gt;3,OR(#REF!&lt;3,#REF!&gt;5)))),"Lg Sớm",IF(AND(CO11="Hưu",#REF!&gt;(#REF!-2),OR(#REF!=0.33,#REF!=0.34),OR(#REF!&lt;4,AND(#REF!&gt;3,OR(#REF!&lt;3,#REF!&gt;5)))),"Nâng Ngạch",IF(AND(CO11="Hưu",#REF!=1,CV11&gt;2,CV11&lt;6,OR(#REF!&lt;4,AND(#REF!&gt;3,OR(#REF!&lt;3,#REF!&gt;5)))),"Nâng PcVK cùng QĐ",IF(AND(CO11="Hưu",#REF!&gt;3,#REF!&gt;2,#REF!&lt;6,#REF!&lt;(#REF!-1),CV11&gt;17,OR(#REF!&gt;1,AND(#REF!=1,OR(CV11&lt;3,CV11&gt;5)))),"Nâng PcNG cùng QĐ",IF(AND(CO11="Hưu",#REF!&lt;(#REF!-1),CV11&gt;0,CV11&lt;18,#REF!&gt;3,#REF!&gt;2,#REF!&lt;6),"Nâng Lg Sớm +(PcNG cùng QĐ)",IF(AND(CO11="Hưu",#REF!&gt;(#REF!-2),OR(#REF!=0.33,#REF!=0.34),#REF!&gt;3,#REF!&gt;2,#REF!&lt;6),"Nâng Ngạch +(PcNG cùng QĐ)",IF(AND(CO11="Hưu",#REF!=1,CV11&gt;2,CV11&lt;6,#REF!&gt;3,#REF!&gt;2,#REF!&lt;6),"Nâng (PcVK +PcNG) cùng QĐ",("---"))))))))</f>
        <v>#REF!</v>
      </c>
      <c r="CO11" s="1347" t="e">
        <f>IF(AND(CZ11&gt;CY11,CZ11&lt;(CY11+13)),"Hưu",IF(AND(CZ11&gt;(CY11+12),CZ11&lt;1000),"Quá","/-/ /-/"))</f>
        <v>#REF!</v>
      </c>
      <c r="CP11" s="1347" t="e">
        <f>IF((#REF!+0)&lt;12,(#REF!+0)+1,IF((#REF!+0)=12,1,IF((#REF!+0)&gt;12,(#REF!+0)-12)))</f>
        <v>#REF!</v>
      </c>
      <c r="CQ11" s="1347" t="e">
        <f>IF(OR((#REF!+0)=12,(#REF!+0)&gt;12),#REF!+CY11/12+1,IF(AND((#REF!+0)&gt;0,(#REF!+0)&lt;12),#REF!+CY11/12,"---"))</f>
        <v>#REF!</v>
      </c>
      <c r="CR11" s="1347" t="e">
        <f>IF(AND(CP11&gt;3,CP11&lt;13),CP11-3,IF(CP11&lt;4,CP11-3+12))</f>
        <v>#REF!</v>
      </c>
      <c r="CS11" s="1347" t="e">
        <f>IF(CR11&lt;CP11,CQ11,IF(CR11&gt;CP11,CQ11-1))</f>
        <v>#REF!</v>
      </c>
      <c r="CT11" s="1347" t="e">
        <f>IF(CP11&gt;6,CP11-6,IF(CP11=6,12,IF(CP11&lt;6,CP11+6)))</f>
        <v>#REF!</v>
      </c>
      <c r="CU11" s="1347" t="e">
        <f>IF(CP11&gt;6,CQ11,IF(CP11&lt;7,CQ11-1))</f>
        <v>#REF!</v>
      </c>
      <c r="CV11" s="1347" t="e">
        <f>IF(AND(CO11="Hưu",#REF!=3),36+#REF!-(12*(CU11-#REF!)+(CT11-#REF!)),IF(AND(CO11="Hưu",#REF!=2),24+#REF!-(12*(CU11-#REF!)+(CT11-#REF!)),IF(AND(CO11="Hưu",#REF!=1),12+#REF!-(12*(CU11-#REF!)+(CT11-#REF!)),"- - -")))</f>
        <v>#REF!</v>
      </c>
      <c r="CW11" s="1356" t="str">
        <f>IF(CX11&gt;0,"K.Dài",". .")</f>
        <v>. .</v>
      </c>
      <c r="CX11" s="1354"/>
      <c r="CY11" s="1357" t="e">
        <f>IF(#REF!="Nam",(60+CX11)*12,IF(#REF!="Nữ",(55+CX11)*12,))</f>
        <v>#REF!</v>
      </c>
      <c r="CZ11" s="1358" t="e">
        <f>12*(#REF!-#REF!)+(12-#REF!)</f>
        <v>#REF!</v>
      </c>
      <c r="DA11" s="1359" t="e">
        <f>#REF!-#REF!</f>
        <v>#REF!</v>
      </c>
      <c r="DB11" s="1360" t="e">
        <f>IF(AND(DA11&lt;35,#REF!="Nam"),"Nam dưới 35",IF(AND(DA11&lt;30,#REF!="Nữ"),"Nữ dưới 30",IF(AND(DA11&gt;34,DA11&lt;46,#REF!="Nam"),"Nam từ 35 - 45",IF(AND(DA11&gt;29,DA11&lt;41,#REF!="Nữ"),"Nữ từ 30 - 40",IF(AND(DA11&gt;45,DA11&lt;56,#REF!="Nam"),"Nam trên 45 - 55",IF(AND(DA11&gt;40,DA11&lt;51,#REF!="Nữ"),"Nữ trên 40 - 50",IF(AND(DA11&gt;55,#REF!="Nam"),"Nam trên 55","Nữ trên 50")))))))</f>
        <v>#REF!</v>
      </c>
      <c r="DC11" s="1361"/>
      <c r="DD11" s="1359"/>
      <c r="DE11" s="1362" t="e">
        <f>IF(DA11&lt;31,"Đến 30",IF(AND(DA11&gt;30,DA11&lt;46),"31 - 45",IF(AND(DA11&gt;45,DA11&lt;70),"Trên 45")))</f>
        <v>#REF!</v>
      </c>
      <c r="DF11" s="1363" t="str">
        <f>IF(DG11&gt;0,"TD","--")</f>
        <v>--</v>
      </c>
      <c r="DG11" s="1363"/>
      <c r="DH11" s="1361"/>
      <c r="DI11" s="1364"/>
      <c r="DJ11" s="1365"/>
      <c r="DP11" s="1347" t="s">
        <v>267</v>
      </c>
      <c r="DQ11" s="1347" t="s">
        <v>342</v>
      </c>
      <c r="DR11" s="1347" t="s">
        <v>360</v>
      </c>
      <c r="DS11" s="1347" t="s">
        <v>346</v>
      </c>
      <c r="DT11" s="1347" t="s">
        <v>360</v>
      </c>
      <c r="DU11" s="1347" t="s">
        <v>364</v>
      </c>
      <c r="DV11" s="1347">
        <f>(DQ11+0)-(DX11+0)</f>
        <v>0</v>
      </c>
      <c r="DW11" s="1347" t="str">
        <f>IF(DV11&gt;0,"Sửa","- - -")</f>
        <v>- - -</v>
      </c>
      <c r="DX11" s="1347" t="s">
        <v>342</v>
      </c>
      <c r="DY11" s="1347" t="s">
        <v>360</v>
      </c>
      <c r="DZ11" s="1347" t="s">
        <v>346</v>
      </c>
      <c r="EA11" s="1347" t="s">
        <v>360</v>
      </c>
      <c r="EB11" s="1347" t="s">
        <v>364</v>
      </c>
      <c r="ED11" s="1347" t="e">
        <f>IF(AND(#REF!&gt;0.34,#REF!=1,OR(#REF!=6.2,#REF!=5.75)),((#REF!-EC11)-2*0.34),IF(AND(#REF!&gt;0.33,#REF!=1,OR(#REF!=4.4,#REF!=4)),((#REF!-EC11)-2*0.33),"- - -"))</f>
        <v>#REF!</v>
      </c>
      <c r="EE11" s="1347" t="e">
        <f>IF(CO11="Hưu",12*(CU11-#REF!)+(CT11-#REF!),"---")</f>
        <v>#REF!</v>
      </c>
    </row>
    <row r="12" spans="1:144" s="1371" customFormat="1" ht="12" customHeight="1" x14ac:dyDescent="0.2">
      <c r="B12" s="1372">
        <v>1</v>
      </c>
      <c r="C12" s="1372"/>
      <c r="D12" s="1372">
        <v>2</v>
      </c>
      <c r="E12" s="1373">
        <v>2</v>
      </c>
      <c r="F12" s="1372">
        <v>3</v>
      </c>
      <c r="G12" s="1372"/>
      <c r="H12" s="1372"/>
      <c r="I12" s="1372"/>
      <c r="J12" s="1372"/>
      <c r="K12" s="1372"/>
      <c r="L12" s="1372"/>
      <c r="M12" s="1372">
        <v>4</v>
      </c>
      <c r="N12" s="1372"/>
      <c r="O12" s="1372"/>
      <c r="P12" s="1372"/>
      <c r="Q12" s="1374"/>
      <c r="R12" s="2352">
        <v>4</v>
      </c>
      <c r="S12" s="2353"/>
      <c r="T12" s="1372"/>
      <c r="U12" s="1372"/>
      <c r="V12" s="2288">
        <v>5</v>
      </c>
      <c r="W12" s="2288"/>
      <c r="X12" s="1375">
        <v>6</v>
      </c>
      <c r="Y12" s="1372">
        <v>6</v>
      </c>
      <c r="Z12" s="1372"/>
      <c r="AA12" s="2351">
        <v>7</v>
      </c>
      <c r="AB12" s="2352"/>
      <c r="AC12" s="2352"/>
      <c r="AD12" s="2353"/>
      <c r="AE12" s="1372">
        <v>8</v>
      </c>
      <c r="AF12" s="2288">
        <v>9</v>
      </c>
      <c r="AG12" s="2288"/>
      <c r="AH12" s="2351">
        <v>10</v>
      </c>
      <c r="AI12" s="2352"/>
      <c r="AJ12" s="2352"/>
      <c r="AK12" s="2352"/>
      <c r="AL12" s="2353"/>
      <c r="AM12" s="2351">
        <v>11</v>
      </c>
      <c r="AN12" s="2353"/>
      <c r="AO12" s="2351">
        <v>12</v>
      </c>
      <c r="AP12" s="2352"/>
      <c r="AQ12" s="2353"/>
      <c r="AR12" s="2351">
        <v>13</v>
      </c>
      <c r="AS12" s="2353"/>
      <c r="AT12" s="2351">
        <v>14</v>
      </c>
      <c r="AU12" s="2352"/>
      <c r="AV12" s="2352"/>
      <c r="AW12" s="2352"/>
      <c r="AX12" s="2353"/>
      <c r="AY12" s="1373">
        <v>15</v>
      </c>
      <c r="AZ12" s="1372"/>
      <c r="BA12" s="1372"/>
      <c r="BB12" s="1372"/>
      <c r="BC12" s="1372"/>
      <c r="BD12" s="1372"/>
      <c r="BE12" s="1372"/>
      <c r="BF12" s="1372"/>
      <c r="BG12" s="1372"/>
      <c r="BH12" s="1372"/>
      <c r="BI12" s="1372"/>
      <c r="BJ12" s="1372">
        <v>12</v>
      </c>
      <c r="BK12" s="1372"/>
      <c r="BL12" s="1372"/>
      <c r="BM12" s="1372"/>
      <c r="BN12" s="1372"/>
      <c r="BO12" s="1372"/>
      <c r="BP12" s="1372"/>
      <c r="BQ12" s="1372"/>
      <c r="BR12" s="1372"/>
      <c r="BS12" s="1372"/>
      <c r="BT12" s="1372">
        <v>11</v>
      </c>
      <c r="BU12" s="1372">
        <v>13</v>
      </c>
    </row>
    <row r="13" spans="1:144" s="1376" customFormat="1" ht="45.75" hidden="1" customHeight="1" x14ac:dyDescent="0.2">
      <c r="B13" s="1377" t="s">
        <v>389</v>
      </c>
      <c r="C13" s="1377"/>
      <c r="D13" s="1377" t="s">
        <v>510</v>
      </c>
      <c r="E13" s="1378" t="s">
        <v>509</v>
      </c>
      <c r="F13" s="1379"/>
      <c r="G13" s="1377"/>
      <c r="H13" s="1377"/>
      <c r="I13" s="1377"/>
      <c r="J13" s="1377"/>
      <c r="K13" s="1377"/>
      <c r="L13" s="1377"/>
      <c r="M13" s="1377"/>
      <c r="N13" s="1377"/>
      <c r="O13" s="1377"/>
      <c r="P13" s="1377"/>
      <c r="Q13" s="1380"/>
      <c r="R13" s="1377" t="s">
        <v>508</v>
      </c>
      <c r="S13" s="1377" t="s">
        <v>507</v>
      </c>
      <c r="T13" s="1379"/>
      <c r="U13" s="1381"/>
      <c r="V13" s="1382" t="s">
        <v>505</v>
      </c>
      <c r="W13" s="1377" t="s">
        <v>506</v>
      </c>
      <c r="X13" s="1383" t="s">
        <v>432</v>
      </c>
      <c r="Y13" s="1384"/>
      <c r="Z13" s="1383"/>
      <c r="AA13" s="1384"/>
      <c r="AB13" s="1385" t="s">
        <v>107</v>
      </c>
      <c r="AC13" s="1386"/>
      <c r="AD13" s="1383" t="s">
        <v>108</v>
      </c>
      <c r="AE13" s="1384" t="s">
        <v>504</v>
      </c>
      <c r="AF13" s="1387" t="s">
        <v>511</v>
      </c>
      <c r="AG13" s="1388"/>
      <c r="AH13" s="1384"/>
      <c r="AI13" s="1386"/>
      <c r="AJ13" s="1385" t="s">
        <v>503</v>
      </c>
      <c r="AK13" s="1386"/>
      <c r="AL13" s="1377" t="s">
        <v>502</v>
      </c>
      <c r="AM13" s="1384"/>
      <c r="AN13" s="1389"/>
      <c r="AO13" s="1384" t="s">
        <v>109</v>
      </c>
      <c r="AP13" s="1386"/>
      <c r="AQ13" s="1390" t="s">
        <v>110</v>
      </c>
      <c r="AR13" s="1391" t="s">
        <v>512</v>
      </c>
      <c r="AS13" s="1392"/>
      <c r="AT13" s="1384"/>
      <c r="AU13" s="1386"/>
      <c r="AV13" s="1377" t="s">
        <v>501</v>
      </c>
      <c r="AW13" s="1386"/>
      <c r="AX13" s="1377" t="s">
        <v>500</v>
      </c>
      <c r="AY13" s="1393"/>
      <c r="AZ13" s="1385"/>
      <c r="BA13" s="1377"/>
      <c r="BB13" s="1377"/>
      <c r="BC13" s="1377"/>
      <c r="BD13" s="1384"/>
      <c r="BE13" s="1377"/>
      <c r="BF13" s="1377"/>
      <c r="BG13" s="1377"/>
      <c r="BH13" s="1377"/>
      <c r="BI13" s="1377"/>
      <c r="BJ13" s="1377"/>
      <c r="BK13" s="1384"/>
      <c r="BL13" s="1383"/>
      <c r="BM13" s="1377"/>
      <c r="BN13" s="1377"/>
      <c r="BO13" s="1377"/>
      <c r="BP13" s="1377"/>
      <c r="BQ13" s="1377"/>
      <c r="BR13" s="1377"/>
      <c r="BS13" s="1377"/>
      <c r="BT13" s="1385"/>
      <c r="BU13" s="1394"/>
      <c r="BV13" s="1395"/>
      <c r="BW13" s="1395"/>
      <c r="BX13" s="1378" t="s">
        <v>499</v>
      </c>
      <c r="BY13" s="1377" t="s">
        <v>498</v>
      </c>
    </row>
    <row r="14" spans="1:144" s="2252" customFormat="1" ht="33" customHeight="1" x14ac:dyDescent="0.2">
      <c r="A14" s="2202"/>
      <c r="B14" s="1396" t="s">
        <v>657</v>
      </c>
      <c r="C14" s="1396"/>
      <c r="D14" s="1397"/>
      <c r="E14" s="1397" t="s">
        <v>658</v>
      </c>
      <c r="F14" s="2203"/>
      <c r="G14" s="2204"/>
      <c r="H14" s="2204"/>
      <c r="I14" s="2204"/>
      <c r="J14" s="2205"/>
      <c r="K14" s="2205"/>
      <c r="L14" s="2205"/>
      <c r="M14" s="2205"/>
      <c r="N14" s="2205"/>
      <c r="O14" s="2205"/>
      <c r="P14" s="2205"/>
      <c r="Q14" s="1397"/>
      <c r="R14" s="2206"/>
      <c r="S14" s="2207"/>
      <c r="T14" s="2208"/>
      <c r="U14" s="2208"/>
      <c r="V14" s="2209"/>
      <c r="W14" s="1398"/>
      <c r="X14" s="2210"/>
      <c r="Y14" s="2211"/>
      <c r="Z14" s="2212"/>
      <c r="AA14" s="2213"/>
      <c r="AB14" s="2214"/>
      <c r="AC14" s="2215"/>
      <c r="AD14" s="2216"/>
      <c r="AE14" s="2217"/>
      <c r="AF14" s="2218"/>
      <c r="AG14" s="2216"/>
      <c r="AH14" s="2219"/>
      <c r="AI14" s="2220"/>
      <c r="AJ14" s="2221"/>
      <c r="AK14" s="2222"/>
      <c r="AL14" s="2223"/>
      <c r="AM14" s="2224"/>
      <c r="AN14" s="2225"/>
      <c r="AO14" s="2226"/>
      <c r="AP14" s="2227"/>
      <c r="AQ14" s="2228"/>
      <c r="AR14" s="2218"/>
      <c r="AS14" s="2215"/>
      <c r="AT14" s="2229"/>
      <c r="AU14" s="2230"/>
      <c r="AV14" s="2231"/>
      <c r="AW14" s="2232"/>
      <c r="AX14" s="2233"/>
      <c r="AY14" s="2234"/>
      <c r="AZ14" s="2235"/>
      <c r="BA14" s="2236"/>
      <c r="BB14" s="2236"/>
      <c r="BC14" s="2237"/>
      <c r="BD14" s="2238"/>
      <c r="BE14" s="2239"/>
      <c r="BF14" s="2239"/>
      <c r="BG14" s="2240"/>
      <c r="BH14" s="2241"/>
      <c r="BI14" s="2241"/>
      <c r="BJ14" s="2239"/>
      <c r="BK14" s="2242"/>
      <c r="BL14" s="2243"/>
      <c r="BM14" s="2244"/>
      <c r="BN14" s="2245"/>
      <c r="BO14" s="2245"/>
      <c r="BP14" s="2245"/>
      <c r="BQ14" s="2245"/>
      <c r="BR14" s="2245"/>
      <c r="BS14" s="2239"/>
      <c r="BT14" s="2246"/>
      <c r="BU14" s="2247"/>
      <c r="BV14" s="2239"/>
      <c r="BW14" s="2240"/>
      <c r="BX14" s="2237"/>
      <c r="BY14" s="2248"/>
      <c r="BZ14" s="2249"/>
      <c r="CA14" s="2202"/>
      <c r="CB14" s="2250"/>
      <c r="CC14" s="2250"/>
      <c r="CD14" s="2202"/>
      <c r="CE14" s="2251"/>
      <c r="CF14" s="2202"/>
      <c r="CG14" s="2202"/>
      <c r="CX14" s="2253"/>
      <c r="CY14" s="2254"/>
      <c r="CZ14" s="2255"/>
      <c r="DA14" s="2202"/>
      <c r="DB14" s="2256"/>
      <c r="DC14" s="2256"/>
      <c r="DD14" s="2256"/>
      <c r="DE14" s="2256"/>
      <c r="DF14" s="2257"/>
      <c r="DG14" s="2258"/>
      <c r="DH14" s="2258"/>
      <c r="DI14" s="2256"/>
      <c r="DJ14" s="2259"/>
      <c r="DK14" s="2258"/>
      <c r="DL14" s="2260"/>
      <c r="DM14" s="2260"/>
    </row>
    <row r="15" spans="1:144" s="1434" customFormat="1" ht="34.5" customHeight="1" x14ac:dyDescent="0.2">
      <c r="A15" s="1399">
        <v>120</v>
      </c>
      <c r="B15" s="1400">
        <v>1</v>
      </c>
      <c r="C15" s="1399"/>
      <c r="D15" s="1399" t="str">
        <f t="shared" ref="D15:D22" si="0">IF(F15="Nam","Ông","Bà")</f>
        <v>Bà</v>
      </c>
      <c r="E15" s="1401" t="s">
        <v>29</v>
      </c>
      <c r="F15" s="1402" t="s">
        <v>381</v>
      </c>
      <c r="G15" s="1403" t="s">
        <v>286</v>
      </c>
      <c r="H15" s="1403" t="s">
        <v>360</v>
      </c>
      <c r="I15" s="1403" t="s">
        <v>342</v>
      </c>
      <c r="J15" s="720" t="s">
        <v>360</v>
      </c>
      <c r="K15" s="720" t="s">
        <v>311</v>
      </c>
      <c r="L15" s="720" t="s">
        <v>452</v>
      </c>
      <c r="M15" s="720" t="str">
        <f t="shared" ref="M15:M22" si="1">IF(L15="công chức","CC",IF(L15="viên chức","VC",IF(L15="người lao động","NLĐ","- - -")))</f>
        <v>VC</v>
      </c>
      <c r="N15" s="720"/>
      <c r="O15" s="720" t="e">
        <f t="shared" ref="O15:O22" si="2">IF(AND((Q15+0)&gt;0.3,(Q15+0)&lt;1.5),"CVụ","- -")</f>
        <v>#N/A</v>
      </c>
      <c r="P15" s="720"/>
      <c r="Q15" s="1401" t="e">
        <f>VLOOKUP(P15,'Du lieu lien quan'!$C$2:$H$115,2,0)</f>
        <v>#N/A</v>
      </c>
      <c r="R15" s="1404" t="s">
        <v>74</v>
      </c>
      <c r="S15" s="722" t="s">
        <v>127</v>
      </c>
      <c r="T15" s="1405" t="str">
        <f>VLOOKUP(Y15,'Du lieu lien quan'!$C$2:$H$60,5,0)</f>
        <v>A1</v>
      </c>
      <c r="U15" s="1405" t="str">
        <f>VLOOKUP(Y15,'Du lieu lien quan'!$C$2:$H$60,6,0)</f>
        <v>- - -</v>
      </c>
      <c r="V15" s="1405" t="s">
        <v>424</v>
      </c>
      <c r="W15" s="1406" t="str">
        <f t="shared" ref="W15:W22" si="3">IF(OR(Y15="Kỹ thuật viên đánh máy",Y15="Nhân viên đánh máy",Y15="Nhân viên kỹ thuật",Y15="Nhân viên văn thư",Y15="Nhân viên phục vụ",Y15="Lái xe cơ quan",Y15="Nhân viên bảo vệ"),"Nhân viên",Y15)</f>
        <v>Giảng viên (hạng III)</v>
      </c>
      <c r="X15" s="761" t="str">
        <f t="shared" ref="X15:X22" si="4">IF(W15="Nhân viên","01.005",Z15)</f>
        <v>V.07.01.03</v>
      </c>
      <c r="Y15" s="722" t="s">
        <v>430</v>
      </c>
      <c r="Z15" s="761" t="str">
        <f>VLOOKUP(Y15,'Du lieu lien quan'!$C$1:$H$133,2,0)</f>
        <v>V.07.01.03</v>
      </c>
      <c r="AA15" s="761" t="str">
        <f t="shared" ref="AA15:AA22" si="5">IF(OR(AND(BC15=36,BB15=3),AND(BC15=24,BB15=2),AND(BC15=12,BB15=1)),"Đến $",IF(OR(AND(BC15&gt;36,BB15=3),AND(BC15&gt;24,BB15=2),AND(BC15&gt;12,BB15=1)),"Dừng $","Lương"))</f>
        <v>Lương</v>
      </c>
      <c r="AB15" s="1407">
        <v>6</v>
      </c>
      <c r="AC15" s="756" t="s">
        <v>360</v>
      </c>
      <c r="AD15" s="756">
        <v>9</v>
      </c>
      <c r="AE15" s="1408">
        <f t="shared" ref="AE15:AE22" si="6">BD15+(AB15-1)*BE15</f>
        <v>3.99</v>
      </c>
      <c r="AF15" s="1409"/>
      <c r="AG15" s="722"/>
      <c r="AH15" s="1410" t="s">
        <v>342</v>
      </c>
      <c r="AI15" s="727" t="s">
        <v>360</v>
      </c>
      <c r="AJ15" s="1442" t="s">
        <v>372</v>
      </c>
      <c r="AK15" s="1412" t="s">
        <v>360</v>
      </c>
      <c r="AL15" s="1413">
        <v>2019</v>
      </c>
      <c r="AM15" s="1414"/>
      <c r="AN15" s="1415"/>
      <c r="AO15" s="1416">
        <f t="shared" ref="AO15:AO22" si="7">AB15+1</f>
        <v>7</v>
      </c>
      <c r="AP15" s="1417" t="str">
        <f t="shared" ref="AP15:AP22" si="8">IF(AD15=AB15,"%",IF(AD15&gt;AB15,"/"))</f>
        <v>/</v>
      </c>
      <c r="AQ15" s="1418">
        <f t="shared" ref="AQ15:AQ22" si="9">IF(AND(AD15=AB15,AO15=4),5,IF(AND(AD15=AB15,AO15&gt;4),AO15+1,IF(AD15&gt;AB15,AD15)))</f>
        <v>9</v>
      </c>
      <c r="AR15" s="1419">
        <f t="shared" ref="AR15:AR22" si="10">IF(AD15=AB15,"%",IF(AD15&gt;AB15,AE15+BE15))</f>
        <v>4.32</v>
      </c>
      <c r="AS15" s="722"/>
      <c r="AT15" s="1420" t="s">
        <v>342</v>
      </c>
      <c r="AU15" s="1421" t="s">
        <v>360</v>
      </c>
      <c r="AV15" s="1411" t="s">
        <v>372</v>
      </c>
      <c r="AW15" s="1418" t="s">
        <v>360</v>
      </c>
      <c r="AX15" s="1422">
        <v>2022</v>
      </c>
      <c r="AY15" s="1423"/>
      <c r="AZ15" s="1414"/>
      <c r="BA15" s="1424"/>
      <c r="BB15" s="1425">
        <f t="shared" ref="BB15:BB22" si="11">IF(AND(AD15&gt;AB15,OR(BE15=0.18,BE15=0.2)),2,IF(AND(AD15&gt;AB15,OR(BE15=0.31,BE15=0.33,BE15=0.34,BE15=0.36)),3,IF(AD15=AB15,1)))</f>
        <v>3</v>
      </c>
      <c r="BC15" s="1426">
        <f t="shared" ref="BC15:BC22" si="12">12*($AA$2-AX15)+($AA$3-AV15)-AM15</f>
        <v>-24274</v>
      </c>
      <c r="BD15" s="1426">
        <f>VLOOKUP(Y15,'Du lieu lien quan'!$C$1:$F$60,3,0)</f>
        <v>2.34</v>
      </c>
      <c r="BE15" s="1427">
        <f>VLOOKUP(Y15,'Du lieu lien quan'!$C$1:$F$60,4,0)</f>
        <v>0.33</v>
      </c>
      <c r="BF15" s="1428" t="str">
        <f t="shared" ref="BF15:BF22" si="13">IF(AND(BG15&gt;3,BY15=12),"Đến %",IF(AND(BG15&gt;3,BY15&gt;12,BY15&lt;120),"Dừng %",IF(AND(BG15&gt;3,BY15&lt;12),"PCTN","o-o-o")))</f>
        <v>PCTN</v>
      </c>
      <c r="BG15" s="1429">
        <v>17</v>
      </c>
      <c r="BH15" s="1430" t="s">
        <v>333</v>
      </c>
      <c r="BI15" s="1431" t="s">
        <v>342</v>
      </c>
      <c r="BJ15" s="1432" t="s">
        <v>360</v>
      </c>
      <c r="BK15" s="1431">
        <v>6</v>
      </c>
      <c r="BL15" s="1415" t="s">
        <v>360</v>
      </c>
      <c r="BM15" s="1396">
        <v>2021</v>
      </c>
      <c r="BN15" s="1397"/>
      <c r="BO15" s="1428"/>
      <c r="BP15" s="1429">
        <f>IF(BG15&gt;3,BG15+1,0)</f>
        <v>18</v>
      </c>
      <c r="BQ15" s="1430" t="s">
        <v>333</v>
      </c>
      <c r="BR15" s="1431" t="s">
        <v>342</v>
      </c>
      <c r="BS15" s="1432" t="s">
        <v>360</v>
      </c>
      <c r="BT15" s="1431">
        <v>6</v>
      </c>
      <c r="BU15" s="1415" t="s">
        <v>360</v>
      </c>
      <c r="BV15" s="729">
        <v>2022</v>
      </c>
      <c r="BW15" s="1414"/>
      <c r="BX15" s="1427">
        <v>6</v>
      </c>
      <c r="BY15" s="1427">
        <f t="shared" ref="BY15:BY22" si="14">IF(BG15&gt;3,(($BF$2-BV15)*12+($BF$3-BT15)-BN15),"- - -")</f>
        <v>-24270</v>
      </c>
      <c r="BZ15" s="1415" t="str">
        <f t="shared" ref="BZ15:BZ21" si="15">IF(AND(CV15="Hưu",BG15&gt;3),12-(12*(DB15-BV15)+(DA15-BT15))-BN15,"- - -")</f>
        <v>- - -</v>
      </c>
      <c r="CA15" s="1433" t="str">
        <f t="shared" ref="CA15:CA22" si="16">IF(OR(S15="Ban Tổ chức - Cán bộ",S15="Văn phòng Học viện",S15="Phó Giám đốc Thường trực Học viện",S15="Phó Giám đốc Học viện"),"Chánh Văn phòng Học viện, Trưởng Ban Tổ chức - Cán bộ",IF(OR(S15="Trung tâm Ngoại ngữ",S15="Trung tâm Tin học hành chính và Công nghệ thông tin",S15="Trung tâm Tin học - Thư viện",S15="Phân viện khu vực Tây Nguyên"),"Chánh Văn phòng Học viện, Trưởng Ban Tổ chức - Cán bộ, "&amp;CONCATENATE("Giám đốc ",S15),IF(S15="Tạp chí Quản lý nhà nước","Chánh Văn phòng Học viện, Trưởng Ban Tổ chức - Cán bộ, "&amp;CONCATENATE("Tổng Biên tập ",S15),IF(S15="Văn phòng Đảng uỷ Học viện","Chánh Văn phòng Học viện, Trưởng Ban Tổ chức - Cán bộ, "&amp;CONCATENATE("Chánh",S15),IF(S15="Viện Nghiên cứu Khoa học hành chính","Chánh Văn phòng Học viện, Trưởng Ban Tổ chức - Cán bộ, "&amp;CONCATENATE("Viện Trưởng ",S15),IF(OR(S15="Cơ sở Học viện Hành chính Quốc gia khu vực miền Trung",S15="Cơ sở Học viện Hành chính Quốc gia tại Thành phố Hồ Chí Minh"),"Chánh Văn phòng Học viện, Trưởng Ban Tổ chức - Cán bộ, "&amp;CONCATENATE("Thủ trưởng ",S15),"Chánh Văn phòng Học viện, Trưởng Ban Tổ chức - Cán bộ, "&amp;CONCATENATE("Trưởng ",S15)))))))</f>
        <v>Chánh Văn phòng Học viện, Trưởng Ban Tổ chức - Cán bộ, Trưởng Ban Hợp tác quốc tế</v>
      </c>
      <c r="CB15" s="1425" t="str">
        <f t="shared" ref="CB15:CB22" si="17">IF(S15="Cơ sở Học viện Hành chính khu vực miền Trung","B",IF(S15="Phân viện Khu vực Tây Nguyên","C",IF(S15="Cơ sở Học viện Hành chính tại thành phố Hồ Chí Minh","D","A")))</f>
        <v>A</v>
      </c>
      <c r="CC15" s="1425" t="str">
        <f t="shared" ref="CC15:CC22" si="18">IF(AND(AO15&gt;0,AB15&lt;(AD15-1),CD15&gt;0,CD15&lt;13,OR(AND(CJ15="Cùg Ng",($CC$2-CF15)&gt;BB15),CJ15="- - -")),"Sớm TT","=&gt; s")</f>
        <v>=&gt; s</v>
      </c>
      <c r="CD15" s="1399">
        <f t="shared" ref="CD15:CD22" si="19">IF(BB15=3,36-(12*($CC$2-AX15)+(12-AV15)-AM15),IF(BB15=2,24-(12*($CC$2-AX15)+(12-AV15)-AM15),"---"))</f>
        <v>24298</v>
      </c>
      <c r="CE15" s="1399" t="str">
        <f t="shared" ref="CE15:CE22" si="20">IF(CF15&gt;1,"S","---")</f>
        <v>---</v>
      </c>
      <c r="CG15" s="1399"/>
      <c r="CI15" s="1399"/>
      <c r="CJ15" s="1414" t="str">
        <f t="shared" ref="CJ15:CJ22" si="21">IF(X15=CG15,"Cùg Ng","- - -")</f>
        <v>- - -</v>
      </c>
      <c r="CK15" s="1414" t="str">
        <f t="shared" ref="CK15:CK22" si="22">IF(CM15&gt;2000,"NN","- - -")</f>
        <v>- - -</v>
      </c>
      <c r="CL15" s="1399"/>
      <c r="CM15" s="1414"/>
      <c r="CN15" s="1414"/>
      <c r="CO15" s="1414"/>
      <c r="CP15" s="1414" t="str">
        <f t="shared" ref="CP15:CP22" si="23">IF(CR15&gt;2000,"CN","- - -")</f>
        <v>- - -</v>
      </c>
      <c r="CQ15" s="1399"/>
      <c r="CR15" s="1414"/>
      <c r="CS15" s="1414"/>
      <c r="CT15" s="1435"/>
      <c r="CU15" s="1398" t="str">
        <f t="shared" ref="CU15:CU20" si="24">IF(AND(CV15="Hưu",AB15&lt;(AD15-1),DC15&gt;0,DC15&lt;18,OR(BG15&lt;4,AND(BG15&gt;3,OR(BZ15&lt;3,BZ15&gt;5)))),"Lg Sớm",IF(AND(CV15="Hưu",AB15&gt;(AD15-2),OR(BE15=0.33,BE15=0.34),OR(BG15&lt;4,AND(BG15&gt;3,OR(BZ15&lt;3,BZ15&gt;5)))),"Nâng Ngạch",IF(AND(CV15="Hưu",BB15=1,DC15&gt;2,DC15&lt;6,OR(BG15&lt;4,AND(BG15&gt;3,OR(BZ15&lt;3,BZ15&gt;5)))),"Nâng PcVK cùng QĐ",IF(AND(CV15="Hưu",BG15&gt;3,BZ15&gt;2,BZ15&lt;6,AB15&lt;(AD15-1),DC15&gt;17,OR(BB15&gt;1,AND(BB15=1,OR(DC15&lt;3,DC15&gt;5)))),"Nâng PcNG cùng QĐ",IF(AND(CV15="Hưu",AB15&lt;(AD15-1),DC15&gt;0,DC15&lt;18,BG15&gt;3,BZ15&gt;2,BZ15&lt;6),"Nâng Lg Sớm +(PcNG cùng QĐ)",IF(AND(CV15="Hưu",AB15&gt;(AD15-2),OR(BE15=0.33,BE15=0.34),BG15&gt;3,BZ15&gt;2,BZ15&lt;6),"Nâng Ngạch +(PcNG cùng QĐ)",IF(AND(CV15="Hưu",BB15=1,DC15&gt;2,DC15&lt;6,BG15&gt;3,BZ15&gt;2,BZ15&lt;6),"Nâng (PcVK +PcNG) cùng QĐ",("---"))))))))</f>
        <v>---</v>
      </c>
      <c r="CV15" s="1434" t="str">
        <f t="shared" ref="CV15:CV22" si="25">IF(AND(DG15&gt;DF15,DG15&lt;(DF15+13)),"Hưu",IF(AND(DG15&gt;(DF15+12),DG15&lt;1000),"Quá","/-/ /-/"))</f>
        <v>/-/ /-/</v>
      </c>
      <c r="CW15" s="1434">
        <f t="shared" ref="CW15:CW22" si="26">IF((I15+0)&lt;12,(I15+0)+1,IF((I15+0)=12,1,IF((I15+0)&gt;12,(I15+0)-12)))</f>
        <v>2</v>
      </c>
      <c r="CX15" s="1434">
        <f t="shared" ref="CX15:CX22" si="27">IF(OR((I15+0)=12,(I15+0)&gt;12),K15+DF15/12+1,IF(AND((I15+0)&gt;0,(I15+0)&lt;12),K15+DF15/12,"---"))</f>
        <v>2032</v>
      </c>
      <c r="CY15" s="1434">
        <f t="shared" ref="CY15:CY22" si="28">IF(AND(CW15&gt;3,CW15&lt;13),CW15-3,IF(CW15&lt;4,CW15-3+12))</f>
        <v>11</v>
      </c>
      <c r="CZ15" s="1434">
        <f t="shared" ref="CZ15:CZ22" si="29">IF(CY15&lt;CW15,CX15,IF(CY15&gt;CW15,CX15-1))</f>
        <v>2031</v>
      </c>
      <c r="DA15" s="1434">
        <f t="shared" ref="DA15:DA22" si="30">IF(CW15&gt;6,CW15-6,IF(CW15=6,12,IF(CW15&lt;6,CW15+6)))</f>
        <v>8</v>
      </c>
      <c r="DB15" s="1436">
        <f t="shared" ref="DB15:DB22" si="31">IF(CW15&gt;6,CX15,IF(CW15&lt;7,CX15-1))</f>
        <v>2031</v>
      </c>
      <c r="DC15" s="1437" t="str">
        <f t="shared" ref="DC15:DC22" si="32">IF(AND(CV15="Hưu",BB15=3),36+AM15-(12*(DB15-AX15)+(DA15-AV15)),IF(AND(CV15="Hưu",BB15=2),24+AM15-(12*(DB15-AX15)+(DA15-AV15)),IF(AND(CV15="Hưu",BB15=1),12+AM15-(12*(DB15-AX15)+(DA15-AV15)),"- - -")))</f>
        <v>- - -</v>
      </c>
      <c r="DD15" s="1437" t="str">
        <f t="shared" ref="DD15:DD22" si="33">IF(DE15&gt;0,"K.Dài",". .")</f>
        <v>. .</v>
      </c>
      <c r="DE15" s="1425"/>
      <c r="DF15" s="1425">
        <f t="shared" ref="DF15:DF22" si="34">IF(F15="Nam",(60+DE15)*12,IF(F15="Nữ",(55+DE15)*12,))</f>
        <v>660</v>
      </c>
      <c r="DG15" s="1425">
        <f t="shared" ref="DG15:DG22" si="35">12*($CV$4-K15)+(12-I15)</f>
        <v>-23713</v>
      </c>
      <c r="DH15" s="1425">
        <f t="shared" ref="DH15:DH22" si="36">$DL$4-K15</f>
        <v>-1977</v>
      </c>
      <c r="DI15" s="1425" t="str">
        <f t="shared" ref="DI15:DI22" si="37">IF(AND(DH15&lt;35,F15="Nam"),"Nam dưới 35",IF(AND(DH15&lt;30,F15="Nữ"),"Nữ dưới 30",IF(AND(DH15&gt;34,DH15&lt;46,F15="Nam"),"Nam từ 35 - 45",IF(AND(DH15&gt;29,DH15&lt;41,F15="Nữ"),"Nữ từ 30 - 40",IF(AND(DH15&gt;45,DH15&lt;56,F15="Nam"),"Nam trên 45 - 55",IF(AND(DH15&gt;40,DH15&lt;51,F15="Nữ"),"Nữ trên 40 - 50",IF(AND(DH15&gt;55,F15="Nam"),"Nam trên 55","Nữ trên 50")))))))</f>
        <v>Nữ dưới 30</v>
      </c>
      <c r="DJ15" s="1425"/>
      <c r="DK15" s="1427"/>
      <c r="DL15" s="1414" t="str">
        <f t="shared" ref="DL15:DL22" si="38">IF(DH15&lt;31,"Đến 30",IF(AND(DH15&gt;30,DH15&lt;46),"31 - 45",IF(AND(DH15&gt;45,DH15&lt;70),"Trên 45")))</f>
        <v>Đến 30</v>
      </c>
      <c r="DM15" s="1399" t="str">
        <f t="shared" ref="DM15:DM22" si="39">IF(DN15&gt;0,"TD","--")</f>
        <v>--</v>
      </c>
      <c r="DN15" s="1399"/>
      <c r="DO15" s="1399"/>
      <c r="DP15" s="1399"/>
      <c r="DQ15" s="1414"/>
      <c r="DR15" s="1414"/>
      <c r="DS15" s="1438"/>
      <c r="DT15" s="1439"/>
      <c r="DU15" s="1415"/>
      <c r="DV15" s="1438"/>
      <c r="DW15" s="1410"/>
      <c r="DX15" s="1440" t="s">
        <v>119</v>
      </c>
      <c r="DY15" s="1440"/>
      <c r="DZ15" s="1440" t="s">
        <v>342</v>
      </c>
      <c r="EA15" s="1441" t="s">
        <v>360</v>
      </c>
      <c r="EB15" s="1440" t="s">
        <v>372</v>
      </c>
      <c r="EC15" s="1399" t="s">
        <v>360</v>
      </c>
      <c r="ED15" s="1410">
        <v>2013</v>
      </c>
      <c r="EE15" s="1440">
        <f t="shared" ref="EE15:EE22" si="40">(DZ15+0)-(EG15+0)</f>
        <v>0</v>
      </c>
      <c r="EF15" s="1440" t="str">
        <f t="shared" ref="EF15:EF22" si="41">IF(EE15&gt;0,"Sửa","- - -")</f>
        <v>- - -</v>
      </c>
      <c r="EG15" s="1440" t="s">
        <v>342</v>
      </c>
      <c r="EH15" s="1441" t="s">
        <v>360</v>
      </c>
      <c r="EI15" s="1399" t="s">
        <v>372</v>
      </c>
      <c r="EJ15" s="1414" t="s">
        <v>360</v>
      </c>
      <c r="EK15" s="1436">
        <v>2013</v>
      </c>
      <c r="EL15" s="1415"/>
      <c r="EM15" s="1434" t="str">
        <f t="shared" ref="EM15:EM22" si="42">IF(AND(BE15&gt;0.34,AO15=1,OR(BD15=6.2,BD15=5.75)),((BD15-EL15)-2*0.34),IF(AND(BE15&gt;0.33,AO15=1,OR(BD15=4.4,BD15=4)),((BD15-EL15)-2*0.33),"- - -"))</f>
        <v>- - -</v>
      </c>
      <c r="EN15" s="1434" t="str">
        <f t="shared" ref="EN15:EN22" si="43">IF(CV15="Hưu",12*(DB15-AX15)+(DA15-AV15),"---")</f>
        <v>---</v>
      </c>
    </row>
    <row r="16" spans="1:144" s="1434" customFormat="1" ht="34.5" customHeight="1" x14ac:dyDescent="0.2">
      <c r="A16" s="1399">
        <v>354</v>
      </c>
      <c r="B16" s="1400">
        <v>2</v>
      </c>
      <c r="C16" s="1399"/>
      <c r="D16" s="1399" t="str">
        <f t="shared" si="0"/>
        <v>Ông</v>
      </c>
      <c r="E16" s="1401" t="s">
        <v>58</v>
      </c>
      <c r="F16" s="1402" t="s">
        <v>379</v>
      </c>
      <c r="G16" s="1403" t="s">
        <v>288</v>
      </c>
      <c r="H16" s="1403" t="s">
        <v>360</v>
      </c>
      <c r="I16" s="1403" t="s">
        <v>344</v>
      </c>
      <c r="J16" s="720" t="s">
        <v>360</v>
      </c>
      <c r="K16" s="720" t="s">
        <v>323</v>
      </c>
      <c r="L16" s="720" t="s">
        <v>452</v>
      </c>
      <c r="M16" s="720" t="str">
        <f t="shared" si="1"/>
        <v>VC</v>
      </c>
      <c r="N16" s="720"/>
      <c r="O16" s="720" t="str">
        <f t="shared" si="2"/>
        <v>CVụ</v>
      </c>
      <c r="P16" s="720" t="s">
        <v>249</v>
      </c>
      <c r="Q16" s="1401">
        <f>VLOOKUP(P16,'Du lieu lien quan'!$C$2:$H$115,2,0)</f>
        <v>0.6</v>
      </c>
      <c r="R16" s="1404" t="s">
        <v>589</v>
      </c>
      <c r="S16" s="722" t="s">
        <v>562</v>
      </c>
      <c r="T16" s="1405" t="str">
        <f>VLOOKUP(Y16,'Du lieu lien quan'!$C$2:$H$60,5,0)</f>
        <v>A2</v>
      </c>
      <c r="U16" s="1405" t="str">
        <f>VLOOKUP(Y16,'Du lieu lien quan'!$C$2:$H$60,6,0)</f>
        <v>A2.1</v>
      </c>
      <c r="V16" s="1405" t="s">
        <v>595</v>
      </c>
      <c r="W16" s="1406" t="str">
        <f t="shared" si="3"/>
        <v>Chuyên viên chính</v>
      </c>
      <c r="X16" s="761" t="str">
        <f t="shared" si="4"/>
        <v>01.002</v>
      </c>
      <c r="Y16" s="722" t="s">
        <v>352</v>
      </c>
      <c r="Z16" s="761" t="str">
        <f>VLOOKUP(Y16,'Du lieu lien quan'!$C$1:$H$133,2,0)</f>
        <v>01.002</v>
      </c>
      <c r="AA16" s="761" t="str">
        <f t="shared" si="5"/>
        <v>Lương</v>
      </c>
      <c r="AB16" s="1407">
        <v>2</v>
      </c>
      <c r="AC16" s="756" t="s">
        <v>360</v>
      </c>
      <c r="AD16" s="756">
        <v>8</v>
      </c>
      <c r="AE16" s="1408">
        <f t="shared" si="6"/>
        <v>4.74</v>
      </c>
      <c r="AF16" s="1409"/>
      <c r="AG16" s="722"/>
      <c r="AH16" s="1410" t="s">
        <v>342</v>
      </c>
      <c r="AI16" s="727" t="s">
        <v>360</v>
      </c>
      <c r="AJ16" s="1442" t="s">
        <v>372</v>
      </c>
      <c r="AK16" s="1412" t="s">
        <v>360</v>
      </c>
      <c r="AL16" s="1413">
        <v>2019</v>
      </c>
      <c r="AM16" s="1414"/>
      <c r="AN16" s="1415"/>
      <c r="AO16" s="1416">
        <f t="shared" si="7"/>
        <v>3</v>
      </c>
      <c r="AP16" s="1417" t="str">
        <f t="shared" si="8"/>
        <v>/</v>
      </c>
      <c r="AQ16" s="1418">
        <f t="shared" si="9"/>
        <v>8</v>
      </c>
      <c r="AR16" s="1419">
        <f t="shared" si="10"/>
        <v>5.08</v>
      </c>
      <c r="AS16" s="722"/>
      <c r="AT16" s="1420" t="s">
        <v>342</v>
      </c>
      <c r="AU16" s="1421" t="s">
        <v>360</v>
      </c>
      <c r="AV16" s="1411" t="s">
        <v>372</v>
      </c>
      <c r="AW16" s="1418" t="s">
        <v>360</v>
      </c>
      <c r="AX16" s="1422">
        <v>2022</v>
      </c>
      <c r="AY16" s="1423"/>
      <c r="AZ16" s="1414"/>
      <c r="BA16" s="1424"/>
      <c r="BB16" s="1425">
        <f t="shared" si="11"/>
        <v>3</v>
      </c>
      <c r="BC16" s="1426">
        <f t="shared" si="12"/>
        <v>-24274</v>
      </c>
      <c r="BD16" s="1426">
        <f>VLOOKUP(Y16,'Du lieu lien quan'!$C$1:$F$60,3,0)</f>
        <v>4.4000000000000004</v>
      </c>
      <c r="BE16" s="1427">
        <f>VLOOKUP(Y16,'Du lieu lien quan'!$C$1:$F$60,4,0)</f>
        <v>0.34</v>
      </c>
      <c r="BF16" s="1428" t="str">
        <f t="shared" si="13"/>
        <v>o-o-o</v>
      </c>
      <c r="BG16" s="1429"/>
      <c r="BH16" s="1430"/>
      <c r="BI16" s="1431"/>
      <c r="BJ16" s="1432"/>
      <c r="BK16" s="1431"/>
      <c r="BL16" s="1415"/>
      <c r="BM16" s="1396"/>
      <c r="BN16" s="1397"/>
      <c r="BO16" s="1428"/>
      <c r="BP16" s="1429"/>
      <c r="BQ16" s="1430"/>
      <c r="BR16" s="1431"/>
      <c r="BS16" s="1432"/>
      <c r="BT16" s="1431"/>
      <c r="BU16" s="1415"/>
      <c r="BV16" s="729"/>
      <c r="BW16" s="1414"/>
      <c r="BX16" s="1427"/>
      <c r="BY16" s="1427" t="str">
        <f t="shared" si="14"/>
        <v>- - -</v>
      </c>
      <c r="BZ16" s="1415" t="str">
        <f t="shared" si="15"/>
        <v>- - -</v>
      </c>
      <c r="CA16" s="1433" t="str">
        <f t="shared" si="16"/>
        <v>Chánh Văn phòng Học viện, Trưởng Ban Tổ chức - Cán bộ, Trưởng Ban Tổ chức cán bộ</v>
      </c>
      <c r="CB16" s="1425" t="str">
        <f t="shared" si="17"/>
        <v>A</v>
      </c>
      <c r="CC16" s="1425" t="str">
        <f t="shared" si="18"/>
        <v>=&gt; s</v>
      </c>
      <c r="CD16" s="1399">
        <f t="shared" si="19"/>
        <v>24298</v>
      </c>
      <c r="CE16" s="1399" t="str">
        <f t="shared" si="20"/>
        <v>S</v>
      </c>
      <c r="CF16" s="1434">
        <v>2013</v>
      </c>
      <c r="CG16" s="1399" t="s">
        <v>169</v>
      </c>
      <c r="CI16" s="1399"/>
      <c r="CJ16" s="1414" t="str">
        <f t="shared" si="21"/>
        <v>- - -</v>
      </c>
      <c r="CK16" s="1414" t="str">
        <f t="shared" si="22"/>
        <v>- - -</v>
      </c>
      <c r="CL16" s="1399"/>
      <c r="CM16" s="1414"/>
      <c r="CN16" s="1414"/>
      <c r="CO16" s="1414"/>
      <c r="CP16" s="1414" t="str">
        <f t="shared" si="23"/>
        <v>CN</v>
      </c>
      <c r="CQ16" s="1399">
        <v>6</v>
      </c>
      <c r="CR16" s="1414">
        <v>2013</v>
      </c>
      <c r="CS16" s="1414"/>
      <c r="CT16" s="1435"/>
      <c r="CU16" s="1398" t="str">
        <f t="shared" si="24"/>
        <v>---</v>
      </c>
      <c r="CV16" s="1434" t="str">
        <f t="shared" si="25"/>
        <v>/-/ /-/</v>
      </c>
      <c r="CW16" s="1434">
        <f t="shared" si="26"/>
        <v>6</v>
      </c>
      <c r="CX16" s="1434">
        <f t="shared" si="27"/>
        <v>2029</v>
      </c>
      <c r="CY16" s="1434">
        <f t="shared" si="28"/>
        <v>3</v>
      </c>
      <c r="CZ16" s="1434">
        <f t="shared" si="29"/>
        <v>2029</v>
      </c>
      <c r="DA16" s="1434">
        <f t="shared" si="30"/>
        <v>12</v>
      </c>
      <c r="DB16" s="1436">
        <f t="shared" si="31"/>
        <v>2028</v>
      </c>
      <c r="DC16" s="1437" t="str">
        <f t="shared" si="32"/>
        <v>- - -</v>
      </c>
      <c r="DD16" s="1437" t="str">
        <f t="shared" si="33"/>
        <v>. .</v>
      </c>
      <c r="DE16" s="1425"/>
      <c r="DF16" s="1425">
        <f t="shared" si="34"/>
        <v>720</v>
      </c>
      <c r="DG16" s="1425">
        <f t="shared" si="35"/>
        <v>-23621</v>
      </c>
      <c r="DH16" s="1425">
        <f t="shared" si="36"/>
        <v>-1969</v>
      </c>
      <c r="DI16" s="1425" t="str">
        <f t="shared" si="37"/>
        <v>Nam dưới 35</v>
      </c>
      <c r="DJ16" s="1425"/>
      <c r="DK16" s="1427"/>
      <c r="DL16" s="1414" t="str">
        <f t="shared" si="38"/>
        <v>Đến 30</v>
      </c>
      <c r="DM16" s="1399" t="str">
        <f t="shared" si="39"/>
        <v>--</v>
      </c>
      <c r="DN16" s="1399"/>
      <c r="DO16" s="1399" t="s">
        <v>147</v>
      </c>
      <c r="DP16" s="1399">
        <v>6</v>
      </c>
      <c r="DQ16" s="1414">
        <v>2013</v>
      </c>
      <c r="DR16" s="1414"/>
      <c r="DS16" s="1438"/>
      <c r="DT16" s="1439"/>
      <c r="DU16" s="1415"/>
      <c r="DV16" s="1438"/>
      <c r="DW16" s="1410"/>
      <c r="DX16" s="1440" t="s">
        <v>124</v>
      </c>
      <c r="DY16" s="1440"/>
      <c r="DZ16" s="1440" t="s">
        <v>342</v>
      </c>
      <c r="EA16" s="1441" t="s">
        <v>360</v>
      </c>
      <c r="EB16" s="1440">
        <v>10</v>
      </c>
      <c r="EC16" s="1399" t="s">
        <v>360</v>
      </c>
      <c r="ED16" s="1410">
        <v>2013</v>
      </c>
      <c r="EE16" s="1440">
        <f t="shared" si="40"/>
        <v>0</v>
      </c>
      <c r="EF16" s="1440" t="str">
        <f t="shared" si="41"/>
        <v>- - -</v>
      </c>
      <c r="EG16" s="1440" t="s">
        <v>342</v>
      </c>
      <c r="EH16" s="1441" t="s">
        <v>360</v>
      </c>
      <c r="EI16" s="1399">
        <v>10</v>
      </c>
      <c r="EJ16" s="1414" t="s">
        <v>360</v>
      </c>
      <c r="EK16" s="1436">
        <v>2013</v>
      </c>
      <c r="EL16" s="1415"/>
      <c r="EM16" s="1434" t="str">
        <f t="shared" si="42"/>
        <v>- - -</v>
      </c>
      <c r="EN16" s="1434" t="str">
        <f t="shared" si="43"/>
        <v>---</v>
      </c>
    </row>
    <row r="17" spans="1:144" s="1434" customFormat="1" ht="34.5" customHeight="1" x14ac:dyDescent="0.2">
      <c r="A17" s="1399">
        <v>402</v>
      </c>
      <c r="B17" s="1400">
        <v>3</v>
      </c>
      <c r="C17" s="1399"/>
      <c r="D17" s="1399" t="str">
        <f t="shared" si="0"/>
        <v>Bà</v>
      </c>
      <c r="E17" s="1401" t="s">
        <v>145</v>
      </c>
      <c r="F17" s="1402" t="s">
        <v>381</v>
      </c>
      <c r="G17" s="1403" t="s">
        <v>332</v>
      </c>
      <c r="H17" s="1403" t="s">
        <v>360</v>
      </c>
      <c r="I17" s="1403" t="s">
        <v>346</v>
      </c>
      <c r="J17" s="720" t="s">
        <v>360</v>
      </c>
      <c r="K17" s="720">
        <v>1989</v>
      </c>
      <c r="L17" s="720" t="s">
        <v>452</v>
      </c>
      <c r="M17" s="720" t="str">
        <f t="shared" si="1"/>
        <v>VC</v>
      </c>
      <c r="N17" s="720"/>
      <c r="O17" s="720" t="e">
        <f t="shared" si="2"/>
        <v>#N/A</v>
      </c>
      <c r="P17" s="720"/>
      <c r="Q17" s="1401" t="e">
        <f>VLOOKUP(P17,'Du lieu lien quan'!$C$2:$H$115,2,0)</f>
        <v>#N/A</v>
      </c>
      <c r="R17" s="1404" t="s">
        <v>633</v>
      </c>
      <c r="S17" s="722" t="s">
        <v>554</v>
      </c>
      <c r="T17" s="1405" t="str">
        <f>VLOOKUP(Y17,'Du lieu lien quan'!$C$2:$H$60,5,0)</f>
        <v>A1</v>
      </c>
      <c r="U17" s="1405" t="str">
        <f>VLOOKUP(Y17,'Du lieu lien quan'!$C$2:$H$60,6,0)</f>
        <v>- - -</v>
      </c>
      <c r="V17" s="1405" t="s">
        <v>425</v>
      </c>
      <c r="W17" s="1406" t="str">
        <f t="shared" si="3"/>
        <v>Chuyên viên</v>
      </c>
      <c r="X17" s="761" t="str">
        <f t="shared" si="4"/>
        <v>01.003</v>
      </c>
      <c r="Y17" s="722" t="s">
        <v>340</v>
      </c>
      <c r="Z17" s="761" t="str">
        <f>VLOOKUP(Y17,'Du lieu lien quan'!$C$1:$H$133,2,0)</f>
        <v>01.003</v>
      </c>
      <c r="AA17" s="761" t="str">
        <f t="shared" si="5"/>
        <v>Lương</v>
      </c>
      <c r="AB17" s="1407">
        <v>3</v>
      </c>
      <c r="AC17" s="756" t="s">
        <v>360</v>
      </c>
      <c r="AD17" s="756">
        <v>9</v>
      </c>
      <c r="AE17" s="1408">
        <f t="shared" si="6"/>
        <v>3</v>
      </c>
      <c r="AF17" s="1409"/>
      <c r="AG17" s="722"/>
      <c r="AH17" s="1410" t="s">
        <v>342</v>
      </c>
      <c r="AI17" s="727" t="s">
        <v>360</v>
      </c>
      <c r="AJ17" s="1442" t="s">
        <v>372</v>
      </c>
      <c r="AK17" s="1412" t="s">
        <v>360</v>
      </c>
      <c r="AL17" s="1413">
        <v>2019</v>
      </c>
      <c r="AM17" s="1414"/>
      <c r="AN17" s="1415"/>
      <c r="AO17" s="1416">
        <f t="shared" si="7"/>
        <v>4</v>
      </c>
      <c r="AP17" s="1417" t="str">
        <f t="shared" si="8"/>
        <v>/</v>
      </c>
      <c r="AQ17" s="1418">
        <f t="shared" si="9"/>
        <v>9</v>
      </c>
      <c r="AR17" s="1419">
        <f t="shared" si="10"/>
        <v>3.33</v>
      </c>
      <c r="AS17" s="722"/>
      <c r="AT17" s="1420" t="s">
        <v>342</v>
      </c>
      <c r="AU17" s="1421" t="s">
        <v>360</v>
      </c>
      <c r="AV17" s="1411" t="s">
        <v>372</v>
      </c>
      <c r="AW17" s="1418" t="s">
        <v>360</v>
      </c>
      <c r="AX17" s="1422">
        <v>2022</v>
      </c>
      <c r="AY17" s="1423"/>
      <c r="AZ17" s="1414"/>
      <c r="BA17" s="1424"/>
      <c r="BB17" s="1425">
        <f t="shared" si="11"/>
        <v>3</v>
      </c>
      <c r="BC17" s="1426">
        <f t="shared" si="12"/>
        <v>-24274</v>
      </c>
      <c r="BD17" s="1426">
        <f>VLOOKUP(Y17,'Du lieu lien quan'!$C$1:$F$60,3,0)</f>
        <v>2.34</v>
      </c>
      <c r="BE17" s="1427">
        <f>VLOOKUP(Y17,'Du lieu lien quan'!$C$1:$F$60,4,0)</f>
        <v>0.33</v>
      </c>
      <c r="BF17" s="1428" t="str">
        <f t="shared" si="13"/>
        <v>o-o-o</v>
      </c>
      <c r="BG17" s="1429"/>
      <c r="BH17" s="1430"/>
      <c r="BI17" s="1431"/>
      <c r="BJ17" s="1432"/>
      <c r="BK17" s="1431"/>
      <c r="BL17" s="1415"/>
      <c r="BM17" s="1396"/>
      <c r="BN17" s="1397"/>
      <c r="BO17" s="1428"/>
      <c r="BP17" s="1429"/>
      <c r="BQ17" s="1430"/>
      <c r="BR17" s="1431"/>
      <c r="BS17" s="1432"/>
      <c r="BT17" s="1431"/>
      <c r="BU17" s="1415"/>
      <c r="BV17" s="729"/>
      <c r="BW17" s="1414"/>
      <c r="BX17" s="1427"/>
      <c r="BY17" s="1427" t="str">
        <f t="shared" si="14"/>
        <v>- - -</v>
      </c>
      <c r="BZ17" s="1415" t="str">
        <f t="shared" si="15"/>
        <v>- - -</v>
      </c>
      <c r="CA17" s="1433" t="str">
        <f t="shared" si="16"/>
        <v>Chánh Văn phòng Học viện, Trưởng Ban Tổ chức - Cán bộ, Trưởng Ban Quản lý bồi dưỡng</v>
      </c>
      <c r="CB17" s="1425" t="str">
        <f t="shared" si="17"/>
        <v>A</v>
      </c>
      <c r="CC17" s="1425" t="str">
        <f t="shared" si="18"/>
        <v>=&gt; s</v>
      </c>
      <c r="CD17" s="1399">
        <f t="shared" si="19"/>
        <v>24298</v>
      </c>
      <c r="CE17" s="1399" t="str">
        <f t="shared" si="20"/>
        <v>---</v>
      </c>
      <c r="CG17" s="1399"/>
      <c r="CI17" s="1399"/>
      <c r="CJ17" s="1414" t="str">
        <f t="shared" si="21"/>
        <v>- - -</v>
      </c>
      <c r="CK17" s="1414" t="str">
        <f t="shared" si="22"/>
        <v>- - -</v>
      </c>
      <c r="CL17" s="1399"/>
      <c r="CM17" s="1414"/>
      <c r="CN17" s="1414"/>
      <c r="CO17" s="1414"/>
      <c r="CP17" s="1414" t="str">
        <f t="shared" si="23"/>
        <v>- - -</v>
      </c>
      <c r="CQ17" s="1399"/>
      <c r="CR17" s="1414"/>
      <c r="CS17" s="1414"/>
      <c r="CT17" s="1435"/>
      <c r="CU17" s="1398" t="str">
        <f t="shared" si="24"/>
        <v>---</v>
      </c>
      <c r="CV17" s="1434" t="str">
        <f t="shared" si="25"/>
        <v>/-/ /-/</v>
      </c>
      <c r="CW17" s="1434">
        <f t="shared" si="26"/>
        <v>9</v>
      </c>
      <c r="CX17" s="1434">
        <f t="shared" si="27"/>
        <v>2044</v>
      </c>
      <c r="CY17" s="1434">
        <f t="shared" si="28"/>
        <v>6</v>
      </c>
      <c r="CZ17" s="1434">
        <f t="shared" si="29"/>
        <v>2044</v>
      </c>
      <c r="DA17" s="1434">
        <f t="shared" si="30"/>
        <v>3</v>
      </c>
      <c r="DB17" s="1436">
        <f t="shared" si="31"/>
        <v>2044</v>
      </c>
      <c r="DC17" s="1437" t="str">
        <f t="shared" si="32"/>
        <v>- - -</v>
      </c>
      <c r="DD17" s="1437" t="str">
        <f t="shared" si="33"/>
        <v>. .</v>
      </c>
      <c r="DE17" s="1425"/>
      <c r="DF17" s="1425">
        <f t="shared" si="34"/>
        <v>660</v>
      </c>
      <c r="DG17" s="1425">
        <f t="shared" si="35"/>
        <v>-23864</v>
      </c>
      <c r="DH17" s="1425">
        <f t="shared" si="36"/>
        <v>-1989</v>
      </c>
      <c r="DI17" s="1425" t="str">
        <f t="shared" si="37"/>
        <v>Nữ dưới 30</v>
      </c>
      <c r="DJ17" s="1425"/>
      <c r="DK17" s="1427"/>
      <c r="DL17" s="1414" t="str">
        <f t="shared" si="38"/>
        <v>Đến 30</v>
      </c>
      <c r="DM17" s="1399" t="str">
        <f t="shared" si="39"/>
        <v>--</v>
      </c>
      <c r="DN17" s="1399"/>
      <c r="DO17" s="1399"/>
      <c r="DP17" s="1399"/>
      <c r="DQ17" s="1414"/>
      <c r="DR17" s="1414"/>
      <c r="DS17" s="1438"/>
      <c r="DT17" s="1439"/>
      <c r="DU17" s="1415"/>
      <c r="DV17" s="1438"/>
      <c r="DW17" s="1410" t="s">
        <v>16</v>
      </c>
      <c r="DX17" s="1440" t="s">
        <v>117</v>
      </c>
      <c r="DY17" s="1440" t="s">
        <v>16</v>
      </c>
      <c r="DZ17" s="1440" t="s">
        <v>342</v>
      </c>
      <c r="EA17" s="1441" t="s">
        <v>360</v>
      </c>
      <c r="EB17" s="1440" t="s">
        <v>372</v>
      </c>
      <c r="EC17" s="1399" t="s">
        <v>360</v>
      </c>
      <c r="ED17" s="1410">
        <v>2013</v>
      </c>
      <c r="EE17" s="1440">
        <f t="shared" si="40"/>
        <v>0</v>
      </c>
      <c r="EF17" s="1440" t="str">
        <f t="shared" si="41"/>
        <v>- - -</v>
      </c>
      <c r="EG17" s="1440" t="s">
        <v>342</v>
      </c>
      <c r="EH17" s="1441" t="s">
        <v>360</v>
      </c>
      <c r="EI17" s="1399" t="s">
        <v>372</v>
      </c>
      <c r="EJ17" s="1414" t="s">
        <v>360</v>
      </c>
      <c r="EK17" s="1436">
        <v>2013</v>
      </c>
      <c r="EL17" s="1415"/>
      <c r="EM17" s="1434" t="str">
        <f t="shared" si="42"/>
        <v>- - -</v>
      </c>
      <c r="EN17" s="1434" t="str">
        <f t="shared" si="43"/>
        <v>---</v>
      </c>
    </row>
    <row r="18" spans="1:144" s="1434" customFormat="1" ht="34.5" customHeight="1" x14ac:dyDescent="0.2">
      <c r="A18" s="1399">
        <v>408</v>
      </c>
      <c r="B18" s="1400">
        <v>4</v>
      </c>
      <c r="C18" s="1399"/>
      <c r="D18" s="1399" t="str">
        <f t="shared" si="0"/>
        <v>Bà</v>
      </c>
      <c r="E18" s="1401" t="s">
        <v>8</v>
      </c>
      <c r="F18" s="1402" t="s">
        <v>381</v>
      </c>
      <c r="G18" s="1403" t="s">
        <v>343</v>
      </c>
      <c r="H18" s="1403" t="s">
        <v>360</v>
      </c>
      <c r="I18" s="1403" t="s">
        <v>350</v>
      </c>
      <c r="J18" s="720" t="s">
        <v>360</v>
      </c>
      <c r="K18" s="720">
        <v>1988</v>
      </c>
      <c r="L18" s="720" t="s">
        <v>452</v>
      </c>
      <c r="M18" s="720" t="str">
        <f t="shared" si="1"/>
        <v>VC</v>
      </c>
      <c r="N18" s="720"/>
      <c r="O18" s="720" t="e">
        <f t="shared" si="2"/>
        <v>#N/A</v>
      </c>
      <c r="P18" s="720"/>
      <c r="Q18" s="1401" t="e">
        <f>VLOOKUP(P18,'Du lieu lien quan'!$C$2:$H$115,2,0)</f>
        <v>#N/A</v>
      </c>
      <c r="R18" s="1404" t="s">
        <v>633</v>
      </c>
      <c r="S18" s="722" t="s">
        <v>554</v>
      </c>
      <c r="T18" s="1405" t="str">
        <f>VLOOKUP(Y18,'Du lieu lien quan'!$C$2:$H$60,5,0)</f>
        <v>A1</v>
      </c>
      <c r="U18" s="1405" t="str">
        <f>VLOOKUP(Y18,'Du lieu lien quan'!$C$2:$H$60,6,0)</f>
        <v>- - -</v>
      </c>
      <c r="V18" s="1405" t="s">
        <v>425</v>
      </c>
      <c r="W18" s="1406" t="str">
        <f t="shared" si="3"/>
        <v>Chuyên viên</v>
      </c>
      <c r="X18" s="761" t="str">
        <f t="shared" si="4"/>
        <v>01.003</v>
      </c>
      <c r="Y18" s="722" t="s">
        <v>340</v>
      </c>
      <c r="Z18" s="761" t="str">
        <f>VLOOKUP(Y18,'Du lieu lien quan'!$C$1:$H$133,2,0)</f>
        <v>01.003</v>
      </c>
      <c r="AA18" s="761" t="str">
        <f t="shared" si="5"/>
        <v>Lương</v>
      </c>
      <c r="AB18" s="1407">
        <v>3</v>
      </c>
      <c r="AC18" s="756" t="s">
        <v>360</v>
      </c>
      <c r="AD18" s="756">
        <v>9</v>
      </c>
      <c r="AE18" s="1408">
        <f t="shared" si="6"/>
        <v>3</v>
      </c>
      <c r="AF18" s="1409"/>
      <c r="AG18" s="722"/>
      <c r="AH18" s="1410" t="s">
        <v>342</v>
      </c>
      <c r="AI18" s="727" t="s">
        <v>360</v>
      </c>
      <c r="AJ18" s="1442" t="s">
        <v>372</v>
      </c>
      <c r="AK18" s="1412" t="s">
        <v>360</v>
      </c>
      <c r="AL18" s="1413">
        <v>2019</v>
      </c>
      <c r="AM18" s="1414"/>
      <c r="AN18" s="1415"/>
      <c r="AO18" s="1416">
        <f t="shared" si="7"/>
        <v>4</v>
      </c>
      <c r="AP18" s="1417" t="str">
        <f t="shared" si="8"/>
        <v>/</v>
      </c>
      <c r="AQ18" s="1418">
        <f t="shared" si="9"/>
        <v>9</v>
      </c>
      <c r="AR18" s="1419">
        <f t="shared" si="10"/>
        <v>3.33</v>
      </c>
      <c r="AS18" s="722"/>
      <c r="AT18" s="1420" t="s">
        <v>342</v>
      </c>
      <c r="AU18" s="1421" t="s">
        <v>360</v>
      </c>
      <c r="AV18" s="1411" t="s">
        <v>372</v>
      </c>
      <c r="AW18" s="1418" t="s">
        <v>360</v>
      </c>
      <c r="AX18" s="1422">
        <v>2022</v>
      </c>
      <c r="AY18" s="1423"/>
      <c r="AZ18" s="1414"/>
      <c r="BA18" s="1424"/>
      <c r="BB18" s="1425">
        <f t="shared" si="11"/>
        <v>3</v>
      </c>
      <c r="BC18" s="1426">
        <f t="shared" si="12"/>
        <v>-24274</v>
      </c>
      <c r="BD18" s="1426">
        <f>VLOOKUP(Y18,'Du lieu lien quan'!$C$1:$F$60,3,0)</f>
        <v>2.34</v>
      </c>
      <c r="BE18" s="1427">
        <f>VLOOKUP(Y18,'Du lieu lien quan'!$C$1:$F$60,4,0)</f>
        <v>0.33</v>
      </c>
      <c r="BF18" s="1428" t="str">
        <f t="shared" si="13"/>
        <v>o-o-o</v>
      </c>
      <c r="BG18" s="1429"/>
      <c r="BH18" s="1430"/>
      <c r="BI18" s="1431"/>
      <c r="BJ18" s="1432"/>
      <c r="BK18" s="1431"/>
      <c r="BL18" s="1415"/>
      <c r="BM18" s="1396"/>
      <c r="BN18" s="1397"/>
      <c r="BO18" s="1428"/>
      <c r="BP18" s="1429"/>
      <c r="BQ18" s="1430"/>
      <c r="BR18" s="1431"/>
      <c r="BS18" s="1432"/>
      <c r="BT18" s="1431"/>
      <c r="BU18" s="1415"/>
      <c r="BV18" s="729"/>
      <c r="BW18" s="1414"/>
      <c r="BX18" s="1427"/>
      <c r="BY18" s="1427" t="str">
        <f t="shared" si="14"/>
        <v>- - -</v>
      </c>
      <c r="BZ18" s="1415" t="str">
        <f t="shared" si="15"/>
        <v>- - -</v>
      </c>
      <c r="CA18" s="1433" t="str">
        <f t="shared" si="16"/>
        <v>Chánh Văn phòng Học viện, Trưởng Ban Tổ chức - Cán bộ, Trưởng Ban Quản lý bồi dưỡng</v>
      </c>
      <c r="CB18" s="1425" t="str">
        <f t="shared" si="17"/>
        <v>A</v>
      </c>
      <c r="CC18" s="1425" t="str">
        <f t="shared" si="18"/>
        <v>=&gt; s</v>
      </c>
      <c r="CD18" s="1399">
        <f t="shared" si="19"/>
        <v>24298</v>
      </c>
      <c r="CE18" s="1399" t="str">
        <f t="shared" si="20"/>
        <v>---</v>
      </c>
      <c r="CG18" s="1399"/>
      <c r="CI18" s="1399"/>
      <c r="CJ18" s="1414" t="str">
        <f t="shared" si="21"/>
        <v>- - -</v>
      </c>
      <c r="CK18" s="1414" t="str">
        <f t="shared" si="22"/>
        <v>- - -</v>
      </c>
      <c r="CL18" s="1399"/>
      <c r="CM18" s="1414"/>
      <c r="CN18" s="1414"/>
      <c r="CO18" s="1414"/>
      <c r="CP18" s="1414" t="str">
        <f t="shared" si="23"/>
        <v>- - -</v>
      </c>
      <c r="CQ18" s="1399"/>
      <c r="CR18" s="1414"/>
      <c r="CS18" s="1414"/>
      <c r="CT18" s="1435"/>
      <c r="CU18" s="1398" t="str">
        <f t="shared" si="24"/>
        <v>---</v>
      </c>
      <c r="CV18" s="1434" t="str">
        <f t="shared" si="25"/>
        <v>/-/ /-/</v>
      </c>
      <c r="CW18" s="1434">
        <f t="shared" si="26"/>
        <v>1</v>
      </c>
      <c r="CX18" s="1434">
        <f t="shared" si="27"/>
        <v>2044</v>
      </c>
      <c r="CY18" s="1434">
        <f t="shared" si="28"/>
        <v>10</v>
      </c>
      <c r="CZ18" s="1434">
        <f t="shared" si="29"/>
        <v>2043</v>
      </c>
      <c r="DA18" s="1434">
        <f t="shared" si="30"/>
        <v>7</v>
      </c>
      <c r="DB18" s="1436">
        <f t="shared" si="31"/>
        <v>2043</v>
      </c>
      <c r="DC18" s="1437" t="str">
        <f t="shared" si="32"/>
        <v>- - -</v>
      </c>
      <c r="DD18" s="1437" t="str">
        <f t="shared" si="33"/>
        <v>. .</v>
      </c>
      <c r="DE18" s="1425"/>
      <c r="DF18" s="1425">
        <f t="shared" si="34"/>
        <v>660</v>
      </c>
      <c r="DG18" s="1425">
        <f t="shared" si="35"/>
        <v>-23856</v>
      </c>
      <c r="DH18" s="1425">
        <f t="shared" si="36"/>
        <v>-1988</v>
      </c>
      <c r="DI18" s="1425" t="str">
        <f t="shared" si="37"/>
        <v>Nữ dưới 30</v>
      </c>
      <c r="DJ18" s="1425"/>
      <c r="DK18" s="1427"/>
      <c r="DL18" s="1414" t="str">
        <f t="shared" si="38"/>
        <v>Đến 30</v>
      </c>
      <c r="DM18" s="1399" t="str">
        <f t="shared" si="39"/>
        <v>--</v>
      </c>
      <c r="DN18" s="1399"/>
      <c r="DO18" s="1399"/>
      <c r="DP18" s="1399"/>
      <c r="DQ18" s="1414"/>
      <c r="DR18" s="1414"/>
      <c r="DS18" s="1438"/>
      <c r="DT18" s="1439"/>
      <c r="DU18" s="1415" t="s">
        <v>409</v>
      </c>
      <c r="DV18" s="1438" t="s">
        <v>239</v>
      </c>
      <c r="DW18" s="1410" t="s">
        <v>16</v>
      </c>
      <c r="DX18" s="1440" t="s">
        <v>117</v>
      </c>
      <c r="DY18" s="1440" t="s">
        <v>16</v>
      </c>
      <c r="DZ18" s="1440" t="s">
        <v>342</v>
      </c>
      <c r="EA18" s="1441" t="s">
        <v>360</v>
      </c>
      <c r="EB18" s="1440" t="s">
        <v>372</v>
      </c>
      <c r="EC18" s="1399" t="s">
        <v>360</v>
      </c>
      <c r="ED18" s="1410">
        <v>2013</v>
      </c>
      <c r="EE18" s="1440">
        <f t="shared" si="40"/>
        <v>0</v>
      </c>
      <c r="EF18" s="1440" t="str">
        <f t="shared" si="41"/>
        <v>- - -</v>
      </c>
      <c r="EG18" s="1440" t="s">
        <v>342</v>
      </c>
      <c r="EH18" s="1441" t="s">
        <v>360</v>
      </c>
      <c r="EI18" s="1399" t="s">
        <v>372</v>
      </c>
      <c r="EJ18" s="1414" t="s">
        <v>360</v>
      </c>
      <c r="EK18" s="1436">
        <v>2013</v>
      </c>
      <c r="EL18" s="1415"/>
      <c r="EM18" s="1434" t="str">
        <f t="shared" si="42"/>
        <v>- - -</v>
      </c>
      <c r="EN18" s="1434" t="str">
        <f t="shared" si="43"/>
        <v>---</v>
      </c>
    </row>
    <row r="19" spans="1:144" s="1434" customFormat="1" ht="34.5" customHeight="1" x14ac:dyDescent="0.2">
      <c r="A19" s="1399">
        <v>497</v>
      </c>
      <c r="B19" s="1400">
        <v>5</v>
      </c>
      <c r="C19" s="1399" t="s">
        <v>388</v>
      </c>
      <c r="D19" s="1399" t="str">
        <f t="shared" si="0"/>
        <v>Bà</v>
      </c>
      <c r="E19" s="1401" t="s">
        <v>469</v>
      </c>
      <c r="F19" s="1402" t="s">
        <v>381</v>
      </c>
      <c r="G19" s="1403" t="s">
        <v>374</v>
      </c>
      <c r="H19" s="1403" t="s">
        <v>360</v>
      </c>
      <c r="I19" s="1403" t="s">
        <v>345</v>
      </c>
      <c r="J19" s="720" t="s">
        <v>360</v>
      </c>
      <c r="K19" s="720">
        <v>1988</v>
      </c>
      <c r="L19" s="720" t="s">
        <v>452</v>
      </c>
      <c r="M19" s="720" t="str">
        <f t="shared" si="1"/>
        <v>VC</v>
      </c>
      <c r="N19" s="720"/>
      <c r="O19" s="720" t="e">
        <f t="shared" si="2"/>
        <v>#N/A</v>
      </c>
      <c r="P19" s="720"/>
      <c r="Q19" s="1401" t="e">
        <f>VLOOKUP(P19,'[1]- DLiêu Gốc (Không sửa)'!$C$2:$H$116,2,0)</f>
        <v>#N/A</v>
      </c>
      <c r="R19" s="1404" t="s">
        <v>3</v>
      </c>
      <c r="S19" s="722" t="s">
        <v>419</v>
      </c>
      <c r="T19" s="1405" t="str">
        <f>VLOOKUP(Y19,'Du lieu lien quan'!$C$2:$H$60,5,0)</f>
        <v>A0</v>
      </c>
      <c r="U19" s="1405" t="str">
        <f>VLOOKUP(Y19,'Du lieu lien quan'!$C$2:$H$60,6,0)</f>
        <v>- - -</v>
      </c>
      <c r="V19" s="1405" t="s">
        <v>425</v>
      </c>
      <c r="W19" s="1406" t="str">
        <f t="shared" si="3"/>
        <v>Chuyên viên (cao đẳng)</v>
      </c>
      <c r="X19" s="761" t="str">
        <f t="shared" si="4"/>
        <v>01a.003</v>
      </c>
      <c r="Y19" s="722" t="s">
        <v>59</v>
      </c>
      <c r="Z19" s="761" t="str">
        <f>VLOOKUP(Y19,'Du lieu lien quan'!$C$1:$H$133,2,0)</f>
        <v>01a.003</v>
      </c>
      <c r="AA19" s="761" t="str">
        <f t="shared" si="5"/>
        <v>Lương</v>
      </c>
      <c r="AB19" s="1407">
        <v>4</v>
      </c>
      <c r="AC19" s="756" t="s">
        <v>360</v>
      </c>
      <c r="AD19" s="756">
        <v>10</v>
      </c>
      <c r="AE19" s="1408">
        <f t="shared" si="6"/>
        <v>3.0300000000000002</v>
      </c>
      <c r="AF19" s="1409"/>
      <c r="AG19" s="722"/>
      <c r="AH19" s="1410" t="s">
        <v>342</v>
      </c>
      <c r="AI19" s="727" t="s">
        <v>360</v>
      </c>
      <c r="AJ19" s="1442" t="s">
        <v>349</v>
      </c>
      <c r="AK19" s="1412" t="s">
        <v>360</v>
      </c>
      <c r="AL19" s="1413">
        <v>2019</v>
      </c>
      <c r="AM19" s="1414">
        <v>1</v>
      </c>
      <c r="AN19" s="1399" t="s">
        <v>584</v>
      </c>
      <c r="AO19" s="1416">
        <f t="shared" si="7"/>
        <v>5</v>
      </c>
      <c r="AP19" s="1417" t="str">
        <f t="shared" si="8"/>
        <v>/</v>
      </c>
      <c r="AQ19" s="1418">
        <f t="shared" si="9"/>
        <v>10</v>
      </c>
      <c r="AR19" s="1419">
        <f t="shared" si="10"/>
        <v>3.3400000000000003</v>
      </c>
      <c r="AS19" s="722"/>
      <c r="AT19" s="1420" t="s">
        <v>342</v>
      </c>
      <c r="AU19" s="1421" t="s">
        <v>360</v>
      </c>
      <c r="AV19" s="1411" t="s">
        <v>372</v>
      </c>
      <c r="AW19" s="1418" t="s">
        <v>360</v>
      </c>
      <c r="AX19" s="1422">
        <v>2022</v>
      </c>
      <c r="AY19" s="1423"/>
      <c r="AZ19" s="1414"/>
      <c r="BA19" s="1424"/>
      <c r="BB19" s="1425">
        <f t="shared" si="11"/>
        <v>3</v>
      </c>
      <c r="BC19" s="1426">
        <f t="shared" si="12"/>
        <v>-24275</v>
      </c>
      <c r="BD19" s="1426">
        <f>VLOOKUP(Y19,'Du lieu lien quan'!$C$1:$F$60,3,0)</f>
        <v>2.1</v>
      </c>
      <c r="BE19" s="1427">
        <f>VLOOKUP(Y19,'Du lieu lien quan'!$C$1:$F$60,4,0)</f>
        <v>0.31</v>
      </c>
      <c r="BF19" s="1428" t="str">
        <f t="shared" si="13"/>
        <v>o-o-o</v>
      </c>
      <c r="BG19" s="1429"/>
      <c r="BH19" s="1430"/>
      <c r="BI19" s="1431"/>
      <c r="BJ19" s="1432"/>
      <c r="BK19" s="1431"/>
      <c r="BL19" s="1415"/>
      <c r="BM19" s="1396"/>
      <c r="BN19" s="1397"/>
      <c r="BO19" s="1428"/>
      <c r="BP19" s="1429"/>
      <c r="BQ19" s="1430"/>
      <c r="BR19" s="1431"/>
      <c r="BS19" s="1432"/>
      <c r="BT19" s="1431"/>
      <c r="BU19" s="1415"/>
      <c r="BV19" s="729"/>
      <c r="BW19" s="1414"/>
      <c r="BX19" s="1427"/>
      <c r="BY19" s="1427" t="str">
        <f t="shared" si="14"/>
        <v>- - -</v>
      </c>
      <c r="BZ19" s="1415" t="str">
        <f t="shared" si="15"/>
        <v>- - -</v>
      </c>
      <c r="CA19" s="1433" t="str">
        <f t="shared" si="16"/>
        <v>Chánh Văn phòng Học viện, Trưởng Ban Tổ chức - Cán bộ</v>
      </c>
      <c r="CB19" s="1425" t="str">
        <f t="shared" si="17"/>
        <v>A</v>
      </c>
      <c r="CC19" s="1425" t="str">
        <f t="shared" si="18"/>
        <v>=&gt; s</v>
      </c>
      <c r="CD19" s="1399">
        <f t="shared" si="19"/>
        <v>24299</v>
      </c>
      <c r="CE19" s="1399" t="str">
        <f t="shared" si="20"/>
        <v>---</v>
      </c>
      <c r="CG19" s="1399"/>
      <c r="CI19" s="1399"/>
      <c r="CJ19" s="1414" t="str">
        <f t="shared" si="21"/>
        <v>- - -</v>
      </c>
      <c r="CK19" s="1414" t="str">
        <f t="shared" si="22"/>
        <v>- - -</v>
      </c>
      <c r="CL19" s="1399"/>
      <c r="CM19" s="1414"/>
      <c r="CN19" s="1414"/>
      <c r="CO19" s="1414"/>
      <c r="CP19" s="1414" t="str">
        <f t="shared" si="23"/>
        <v>- - -</v>
      </c>
      <c r="CQ19" s="1399"/>
      <c r="CR19" s="1414"/>
      <c r="CS19" s="1414"/>
      <c r="CT19" s="1435"/>
      <c r="CU19" s="1398" t="str">
        <f t="shared" si="24"/>
        <v>---</v>
      </c>
      <c r="CV19" s="1434" t="str">
        <f t="shared" si="25"/>
        <v>/-/ /-/</v>
      </c>
      <c r="CW19" s="1434">
        <f t="shared" si="26"/>
        <v>7</v>
      </c>
      <c r="CX19" s="1434">
        <f t="shared" si="27"/>
        <v>2043</v>
      </c>
      <c r="CY19" s="1434">
        <f t="shared" si="28"/>
        <v>4</v>
      </c>
      <c r="CZ19" s="1434">
        <f t="shared" si="29"/>
        <v>2043</v>
      </c>
      <c r="DA19" s="1434">
        <f t="shared" si="30"/>
        <v>1</v>
      </c>
      <c r="DB19" s="1436">
        <f t="shared" si="31"/>
        <v>2043</v>
      </c>
      <c r="DC19" s="1437" t="str">
        <f t="shared" si="32"/>
        <v>- - -</v>
      </c>
      <c r="DD19" s="1437" t="str">
        <f t="shared" si="33"/>
        <v>. .</v>
      </c>
      <c r="DE19" s="1425"/>
      <c r="DF19" s="1425">
        <f t="shared" si="34"/>
        <v>660</v>
      </c>
      <c r="DG19" s="1425">
        <f t="shared" si="35"/>
        <v>-23850</v>
      </c>
      <c r="DH19" s="1425">
        <f t="shared" si="36"/>
        <v>-1988</v>
      </c>
      <c r="DI19" s="1425" t="str">
        <f t="shared" si="37"/>
        <v>Nữ dưới 30</v>
      </c>
      <c r="DJ19" s="1425"/>
      <c r="DK19" s="1427"/>
      <c r="DL19" s="1414" t="str">
        <f t="shared" si="38"/>
        <v>Đến 30</v>
      </c>
      <c r="DM19" s="1399" t="str">
        <f t="shared" si="39"/>
        <v>--</v>
      </c>
      <c r="DN19" s="1399"/>
      <c r="DO19" s="1399"/>
      <c r="DP19" s="1399"/>
      <c r="DQ19" s="1414"/>
      <c r="DR19" s="1414"/>
      <c r="DS19" s="1438"/>
      <c r="DT19" s="1439"/>
      <c r="DU19" s="1415"/>
      <c r="DV19" s="1438"/>
      <c r="DW19" s="1410" t="s">
        <v>3</v>
      </c>
      <c r="DX19" s="1440" t="s">
        <v>419</v>
      </c>
      <c r="DY19" s="1440"/>
      <c r="DZ19" s="1440"/>
      <c r="EA19" s="1441"/>
      <c r="EB19" s="1440"/>
      <c r="EC19" s="1399"/>
      <c r="ED19" s="1410"/>
      <c r="EE19" s="1440">
        <f t="shared" si="40"/>
        <v>0</v>
      </c>
      <c r="EF19" s="1440" t="str">
        <f t="shared" si="41"/>
        <v>- - -</v>
      </c>
      <c r="EG19" s="1440"/>
      <c r="EH19" s="1441"/>
      <c r="EI19" s="1399"/>
      <c r="EJ19" s="1414"/>
      <c r="EK19" s="1436"/>
      <c r="EL19" s="1415"/>
      <c r="EM19" s="1434" t="str">
        <f t="shared" si="42"/>
        <v>- - -</v>
      </c>
      <c r="EN19" s="1434" t="str">
        <f t="shared" si="43"/>
        <v>---</v>
      </c>
    </row>
    <row r="20" spans="1:144" s="1434" customFormat="1" ht="34.5" customHeight="1" x14ac:dyDescent="0.2">
      <c r="A20" s="1399">
        <v>527</v>
      </c>
      <c r="B20" s="1400">
        <v>6</v>
      </c>
      <c r="C20" s="1399"/>
      <c r="D20" s="1399" t="str">
        <f t="shared" si="0"/>
        <v>Ông</v>
      </c>
      <c r="E20" s="1401" t="s">
        <v>70</v>
      </c>
      <c r="F20" s="1402" t="s">
        <v>379</v>
      </c>
      <c r="G20" s="1403" t="s">
        <v>285</v>
      </c>
      <c r="H20" s="1403" t="s">
        <v>360</v>
      </c>
      <c r="I20" s="1403" t="s">
        <v>344</v>
      </c>
      <c r="J20" s="720" t="s">
        <v>360</v>
      </c>
      <c r="K20" s="720">
        <v>1987</v>
      </c>
      <c r="L20" s="720" t="s">
        <v>434</v>
      </c>
      <c r="M20" s="720" t="str">
        <f t="shared" si="1"/>
        <v>NLĐ</v>
      </c>
      <c r="N20" s="720"/>
      <c r="O20" s="720" t="e">
        <f t="shared" si="2"/>
        <v>#N/A</v>
      </c>
      <c r="P20" s="720"/>
      <c r="Q20" s="1401" t="e">
        <f>VLOOKUP(P20,'[1]- DLiêu Gốc (Không sửa)'!$C$2:$H$116,2,0)</f>
        <v>#N/A</v>
      </c>
      <c r="R20" s="1404" t="s">
        <v>370</v>
      </c>
      <c r="S20" s="722" t="s">
        <v>419</v>
      </c>
      <c r="T20" s="1405" t="str">
        <f>VLOOKUP(Y20,'Du lieu lien quan'!$C$2:$H$60,5,0)</f>
        <v>C</v>
      </c>
      <c r="U20" s="1405" t="str">
        <f>VLOOKUP(Y20,'Du lieu lien quan'!$C$2:$H$60,6,0)</f>
        <v>Nhân viên</v>
      </c>
      <c r="V20" s="1405" t="s">
        <v>425</v>
      </c>
      <c r="W20" s="1406" t="str">
        <f t="shared" si="3"/>
        <v>Nhân viên</v>
      </c>
      <c r="X20" s="761" t="str">
        <f t="shared" si="4"/>
        <v>01.005</v>
      </c>
      <c r="Y20" s="722" t="s">
        <v>358</v>
      </c>
      <c r="Z20" s="761" t="str">
        <f>VLOOKUP(Y20,'Du lieu lien quan'!$C$1:$H$133,2,0)</f>
        <v>01.007</v>
      </c>
      <c r="AA20" s="761" t="str">
        <f t="shared" si="5"/>
        <v>Lương</v>
      </c>
      <c r="AB20" s="1407">
        <v>6</v>
      </c>
      <c r="AC20" s="756" t="s">
        <v>360</v>
      </c>
      <c r="AD20" s="756">
        <v>12</v>
      </c>
      <c r="AE20" s="1408">
        <f t="shared" si="6"/>
        <v>2.5499999999999998</v>
      </c>
      <c r="AF20" s="1409"/>
      <c r="AG20" s="722"/>
      <c r="AH20" s="1410" t="s">
        <v>342</v>
      </c>
      <c r="AI20" s="727" t="s">
        <v>360</v>
      </c>
      <c r="AJ20" s="1442" t="s">
        <v>372</v>
      </c>
      <c r="AK20" s="1412" t="s">
        <v>360</v>
      </c>
      <c r="AL20" s="1413">
        <v>2020</v>
      </c>
      <c r="AM20" s="1414"/>
      <c r="AN20" s="1415"/>
      <c r="AO20" s="1416">
        <f t="shared" si="7"/>
        <v>7</v>
      </c>
      <c r="AP20" s="1417" t="str">
        <f t="shared" si="8"/>
        <v>/</v>
      </c>
      <c r="AQ20" s="1418">
        <f t="shared" si="9"/>
        <v>12</v>
      </c>
      <c r="AR20" s="1419">
        <f t="shared" si="10"/>
        <v>2.73</v>
      </c>
      <c r="AS20" s="722"/>
      <c r="AT20" s="1420" t="s">
        <v>342</v>
      </c>
      <c r="AU20" s="1421" t="s">
        <v>360</v>
      </c>
      <c r="AV20" s="1411" t="s">
        <v>372</v>
      </c>
      <c r="AW20" s="1418" t="s">
        <v>360</v>
      </c>
      <c r="AX20" s="1422">
        <v>2022</v>
      </c>
      <c r="AY20" s="1423"/>
      <c r="AZ20" s="1414"/>
      <c r="BA20" s="1424"/>
      <c r="BB20" s="1425">
        <f t="shared" si="11"/>
        <v>2</v>
      </c>
      <c r="BC20" s="1426">
        <f t="shared" si="12"/>
        <v>-24274</v>
      </c>
      <c r="BD20" s="1426">
        <f>VLOOKUP(Y20,'Du lieu lien quan'!$C$1:$F$60,3,0)</f>
        <v>1.65</v>
      </c>
      <c r="BE20" s="1427">
        <f>VLOOKUP(Y20,'Du lieu lien quan'!$C$1:$F$60,4,0)</f>
        <v>0.18</v>
      </c>
      <c r="BF20" s="1428" t="str">
        <f t="shared" si="13"/>
        <v>o-o-o</v>
      </c>
      <c r="BG20" s="1429"/>
      <c r="BH20" s="1430"/>
      <c r="BI20" s="1431"/>
      <c r="BJ20" s="1432"/>
      <c r="BK20" s="1431"/>
      <c r="BL20" s="1415"/>
      <c r="BM20" s="1396"/>
      <c r="BN20" s="1397"/>
      <c r="BO20" s="1428"/>
      <c r="BP20" s="1429"/>
      <c r="BQ20" s="1430"/>
      <c r="BR20" s="1431"/>
      <c r="BS20" s="1432"/>
      <c r="BT20" s="1431"/>
      <c r="BU20" s="1415"/>
      <c r="BV20" s="729"/>
      <c r="BW20" s="1414"/>
      <c r="BX20" s="1427"/>
      <c r="BY20" s="1427" t="str">
        <f t="shared" si="14"/>
        <v>- - -</v>
      </c>
      <c r="BZ20" s="1415" t="str">
        <f t="shared" si="15"/>
        <v>- - -</v>
      </c>
      <c r="CA20" s="1433" t="str">
        <f t="shared" si="16"/>
        <v>Chánh Văn phòng Học viện, Trưởng Ban Tổ chức - Cán bộ</v>
      </c>
      <c r="CB20" s="1425" t="str">
        <f t="shared" si="17"/>
        <v>A</v>
      </c>
      <c r="CC20" s="1425" t="str">
        <f t="shared" si="18"/>
        <v>=&gt; s</v>
      </c>
      <c r="CD20" s="1399">
        <f t="shared" si="19"/>
        <v>24286</v>
      </c>
      <c r="CE20" s="1399" t="str">
        <f t="shared" si="20"/>
        <v>---</v>
      </c>
      <c r="CG20" s="1399"/>
      <c r="CI20" s="1399"/>
      <c r="CJ20" s="1414" t="str">
        <f t="shared" si="21"/>
        <v>- - -</v>
      </c>
      <c r="CK20" s="1414" t="str">
        <f t="shared" si="22"/>
        <v>- - -</v>
      </c>
      <c r="CL20" s="1399"/>
      <c r="CM20" s="1414"/>
      <c r="CN20" s="1414"/>
      <c r="CO20" s="1414"/>
      <c r="CP20" s="1414" t="str">
        <f t="shared" si="23"/>
        <v>- - -</v>
      </c>
      <c r="CQ20" s="1399"/>
      <c r="CR20" s="1414"/>
      <c r="CS20" s="1414"/>
      <c r="CT20" s="1435"/>
      <c r="CU20" s="1398" t="str">
        <f t="shared" si="24"/>
        <v>---</v>
      </c>
      <c r="CV20" s="1434" t="str">
        <f t="shared" si="25"/>
        <v>/-/ /-/</v>
      </c>
      <c r="CW20" s="1434">
        <f t="shared" si="26"/>
        <v>6</v>
      </c>
      <c r="CX20" s="1434">
        <f t="shared" si="27"/>
        <v>2047</v>
      </c>
      <c r="CY20" s="1434">
        <f t="shared" si="28"/>
        <v>3</v>
      </c>
      <c r="CZ20" s="1434">
        <f t="shared" si="29"/>
        <v>2047</v>
      </c>
      <c r="DA20" s="1434">
        <f t="shared" si="30"/>
        <v>12</v>
      </c>
      <c r="DB20" s="1436">
        <f t="shared" si="31"/>
        <v>2046</v>
      </c>
      <c r="DC20" s="1437" t="str">
        <f t="shared" si="32"/>
        <v>- - -</v>
      </c>
      <c r="DD20" s="1437" t="str">
        <f t="shared" si="33"/>
        <v>. .</v>
      </c>
      <c r="DE20" s="1425"/>
      <c r="DF20" s="1425">
        <f t="shared" si="34"/>
        <v>720</v>
      </c>
      <c r="DG20" s="1425">
        <f t="shared" si="35"/>
        <v>-23837</v>
      </c>
      <c r="DH20" s="1425">
        <f t="shared" si="36"/>
        <v>-1987</v>
      </c>
      <c r="DI20" s="1425" t="str">
        <f t="shared" si="37"/>
        <v>Nam dưới 35</v>
      </c>
      <c r="DJ20" s="1425"/>
      <c r="DK20" s="1427"/>
      <c r="DL20" s="1414" t="str">
        <f t="shared" si="38"/>
        <v>Đến 30</v>
      </c>
      <c r="DM20" s="1399" t="str">
        <f t="shared" si="39"/>
        <v>--</v>
      </c>
      <c r="DN20" s="1399"/>
      <c r="DO20" s="1399"/>
      <c r="DP20" s="1399"/>
      <c r="DQ20" s="1414"/>
      <c r="DR20" s="1414"/>
      <c r="DS20" s="1438"/>
      <c r="DT20" s="1439"/>
      <c r="DU20" s="1415"/>
      <c r="DV20" s="1438"/>
      <c r="DW20" s="1410" t="s">
        <v>370</v>
      </c>
      <c r="DX20" s="1440" t="s">
        <v>419</v>
      </c>
      <c r="DY20" s="1440" t="s">
        <v>370</v>
      </c>
      <c r="DZ20" s="1440" t="s">
        <v>342</v>
      </c>
      <c r="EA20" s="1441" t="s">
        <v>360</v>
      </c>
      <c r="EB20" s="1440" t="s">
        <v>372</v>
      </c>
      <c r="EC20" s="1399" t="s">
        <v>360</v>
      </c>
      <c r="ED20" s="1410">
        <v>2012</v>
      </c>
      <c r="EE20" s="1440">
        <f t="shared" si="40"/>
        <v>0</v>
      </c>
      <c r="EF20" s="1440" t="str">
        <f t="shared" si="41"/>
        <v>- - -</v>
      </c>
      <c r="EG20" s="1440" t="s">
        <v>342</v>
      </c>
      <c r="EH20" s="1441" t="s">
        <v>360</v>
      </c>
      <c r="EI20" s="1399" t="s">
        <v>372</v>
      </c>
      <c r="EJ20" s="1414" t="s">
        <v>360</v>
      </c>
      <c r="EK20" s="1436">
        <v>2012</v>
      </c>
      <c r="EL20" s="1415"/>
      <c r="EM20" s="1434" t="str">
        <f t="shared" si="42"/>
        <v>- - -</v>
      </c>
      <c r="EN20" s="1434" t="str">
        <f t="shared" si="43"/>
        <v>---</v>
      </c>
    </row>
    <row r="21" spans="1:144" s="1434" customFormat="1" ht="42" customHeight="1" x14ac:dyDescent="0.2">
      <c r="A21" s="1399">
        <v>607</v>
      </c>
      <c r="B21" s="1400">
        <v>7</v>
      </c>
      <c r="C21" s="1399"/>
      <c r="D21" s="1399" t="str">
        <f t="shared" si="0"/>
        <v>Ông</v>
      </c>
      <c r="E21" s="1401" t="s">
        <v>21</v>
      </c>
      <c r="F21" s="1402" t="s">
        <v>379</v>
      </c>
      <c r="G21" s="1403" t="s">
        <v>285</v>
      </c>
      <c r="H21" s="1403" t="s">
        <v>360</v>
      </c>
      <c r="I21" s="1403" t="s">
        <v>372</v>
      </c>
      <c r="J21" s="720" t="s">
        <v>360</v>
      </c>
      <c r="K21" s="720">
        <v>1982</v>
      </c>
      <c r="L21" s="720" t="s">
        <v>452</v>
      </c>
      <c r="M21" s="720" t="str">
        <f t="shared" si="1"/>
        <v>VC</v>
      </c>
      <c r="N21" s="720"/>
      <c r="O21" s="720" t="str">
        <f t="shared" si="2"/>
        <v>- -</v>
      </c>
      <c r="P21" s="720"/>
      <c r="Q21" s="1401">
        <f>VLOOKUP(P21,'[3]- DLiêu Gốc -'!$B$2:$G$120,2,0)</f>
        <v>0</v>
      </c>
      <c r="R21" s="1404" t="s">
        <v>620</v>
      </c>
      <c r="S21" s="722" t="s">
        <v>560</v>
      </c>
      <c r="T21" s="1405" t="str">
        <f>VLOOKUP(Y21,'[3]- DLiêu Gốc -'!$B$2:$G$54,5,0)</f>
        <v>A1</v>
      </c>
      <c r="U21" s="1405" t="str">
        <f>VLOOKUP(Y21,'[3]- DLiêu Gốc -'!$B$2:$G$54,6,0)</f>
        <v>- - -</v>
      </c>
      <c r="V21" s="1405" t="s">
        <v>425</v>
      </c>
      <c r="W21" s="1406" t="str">
        <f t="shared" si="3"/>
        <v>Kế toán viên</v>
      </c>
      <c r="X21" s="761" t="str">
        <f t="shared" si="4"/>
        <v>06.031</v>
      </c>
      <c r="Y21" s="722" t="s">
        <v>341</v>
      </c>
      <c r="Z21" s="761" t="str">
        <f>VLOOKUP(Y21,'Du lieu lien quan'!$C$1:$H$133,2,0)</f>
        <v>06.031</v>
      </c>
      <c r="AA21" s="761" t="str">
        <f t="shared" si="5"/>
        <v>Lương</v>
      </c>
      <c r="AB21" s="1407">
        <v>3</v>
      </c>
      <c r="AC21" s="756" t="s">
        <v>360</v>
      </c>
      <c r="AD21" s="756">
        <v>9</v>
      </c>
      <c r="AE21" s="1408">
        <f t="shared" si="6"/>
        <v>3</v>
      </c>
      <c r="AF21" s="1409"/>
      <c r="AG21" s="722"/>
      <c r="AH21" s="1410" t="s">
        <v>342</v>
      </c>
      <c r="AI21" s="727" t="s">
        <v>360</v>
      </c>
      <c r="AJ21" s="1442" t="s">
        <v>372</v>
      </c>
      <c r="AK21" s="1412" t="s">
        <v>360</v>
      </c>
      <c r="AL21" s="1413">
        <v>2019</v>
      </c>
      <c r="AM21" s="1414"/>
      <c r="AN21" s="1415"/>
      <c r="AO21" s="1416">
        <f t="shared" si="7"/>
        <v>4</v>
      </c>
      <c r="AP21" s="1417" t="str">
        <f t="shared" si="8"/>
        <v>/</v>
      </c>
      <c r="AQ21" s="1418">
        <f t="shared" si="9"/>
        <v>9</v>
      </c>
      <c r="AR21" s="1419">
        <f t="shared" si="10"/>
        <v>3.33</v>
      </c>
      <c r="AS21" s="722"/>
      <c r="AT21" s="1420" t="s">
        <v>342</v>
      </c>
      <c r="AU21" s="1421" t="s">
        <v>360</v>
      </c>
      <c r="AV21" s="1411" t="s">
        <v>372</v>
      </c>
      <c r="AW21" s="1418" t="s">
        <v>360</v>
      </c>
      <c r="AX21" s="1422">
        <v>2022</v>
      </c>
      <c r="AY21" s="1423"/>
      <c r="AZ21" s="1414"/>
      <c r="BA21" s="1424"/>
      <c r="BB21" s="1425">
        <f t="shared" si="11"/>
        <v>3</v>
      </c>
      <c r="BC21" s="1426">
        <f t="shared" si="12"/>
        <v>-24274</v>
      </c>
      <c r="BD21" s="1426">
        <f>VLOOKUP(Y21,'[3]- DLiêu Gốc -'!$B$1:$E$54,3,0)</f>
        <v>2.34</v>
      </c>
      <c r="BE21" s="1427">
        <f>VLOOKUP(Y21,'[3]- DLiêu Gốc -'!$B$1:$E$54,4,0)</f>
        <v>0.33</v>
      </c>
      <c r="BF21" s="1428" t="str">
        <f t="shared" si="13"/>
        <v>o-o-o</v>
      </c>
      <c r="BG21" s="1429"/>
      <c r="BH21" s="1430"/>
      <c r="BI21" s="1431"/>
      <c r="BJ21" s="1432"/>
      <c r="BK21" s="1431"/>
      <c r="BL21" s="1415"/>
      <c r="BM21" s="1396"/>
      <c r="BN21" s="1397"/>
      <c r="BO21" s="1428"/>
      <c r="BP21" s="1429"/>
      <c r="BQ21" s="1430"/>
      <c r="BR21" s="1431"/>
      <c r="BS21" s="1432"/>
      <c r="BT21" s="1431"/>
      <c r="BU21" s="1415"/>
      <c r="BV21" s="729"/>
      <c r="BW21" s="1414" t="s">
        <v>283</v>
      </c>
      <c r="BX21" s="1427"/>
      <c r="BY21" s="1427" t="str">
        <f t="shared" si="14"/>
        <v>- - -</v>
      </c>
      <c r="BZ21" s="1415" t="str">
        <f t="shared" si="15"/>
        <v>- - -</v>
      </c>
      <c r="CA21" s="1433" t="str">
        <f t="shared" si="16"/>
        <v>Chánh Văn phòng Học viện, Trưởng Ban Tổ chức - Cán bộ, Trưởng Phân viện Học viện Hành chính Quốc gia tại thành phố Huế</v>
      </c>
      <c r="CB21" s="1425" t="str">
        <f t="shared" si="17"/>
        <v>A</v>
      </c>
      <c r="CC21" s="1425" t="str">
        <f t="shared" si="18"/>
        <v>=&gt; s</v>
      </c>
      <c r="CD21" s="1399">
        <f t="shared" si="19"/>
        <v>24298</v>
      </c>
      <c r="CE21" s="1399" t="str">
        <f t="shared" si="20"/>
        <v>---</v>
      </c>
      <c r="CG21" s="1399"/>
      <c r="CI21" s="1399"/>
      <c r="CJ21" s="1414" t="str">
        <f t="shared" si="21"/>
        <v>- - -</v>
      </c>
      <c r="CK21" s="1414" t="str">
        <f t="shared" si="22"/>
        <v>- - -</v>
      </c>
      <c r="CL21" s="1399"/>
      <c r="CM21" s="1414"/>
      <c r="CN21" s="1414"/>
      <c r="CO21" s="1414"/>
      <c r="CP21" s="1414" t="str">
        <f t="shared" si="23"/>
        <v>- - -</v>
      </c>
      <c r="CQ21" s="1399"/>
      <c r="CR21" s="1414"/>
      <c r="CS21" s="1414"/>
      <c r="CT21" s="1435"/>
      <c r="CU21" s="1398" t="str">
        <f>IF(AND(CV21="Hưu",AB21&lt;(AD21-1),DC21&gt;0,DC21&lt;18,OR(BG21&lt;4,AND(BG21&gt;3,OR(BZ21&lt;3,BZ21&gt;5)))),"Lg Sớm",IF(AND(CV21="Hưu",AB21&gt;(AD21-2),OR(BE21=0.33,BE21=0.34),OR(BG21&lt;4,AND(BG21&gt;3,OR(BZ21&lt;3,BZ21&gt;5)))),"Nâng Ngạch??",IF(AND(CV21="Hưu",BB21=1,DC21&gt;2,DC21&lt;6,OR(BG21&lt;4,AND(BG21&gt;3,OR(BZ21&lt;3,BZ21&gt;5)))),"Nâng PcVK cùng QĐ",IF(AND(CV21="Hưu",BG21&gt;3,BZ21&gt;2,BZ21&lt;6,AB21&lt;(AD21-1),DC21&gt;17,OR(BB21&gt;1,AND(BB21=1,OR(DC21&lt;3,DC21&gt;5)))),"Nâng PcNG cùng QĐ",IF(AND(CV21="Hưu",AB21&lt;(AD21-1),DC21&gt;0,DC21&lt;18,BG21&gt;3,BZ21&gt;2,BZ21&lt;6),"Nâng Lg Sớm +(PcNG cùng QĐ)",IF(AND(CV21="Hưu",AB21&gt;(AD21-2),OR(BE21=0.33,BE21=0.34),BG21&gt;3,BZ21&gt;2,BZ21&lt;6),"Nâng Ngạch?? +(PcNG cùng QĐ)",IF(AND(CV21="Hưu",BB21=1,DC21&gt;2,DC21&lt;6,BG21&gt;3,BZ21&gt;2,BZ21&lt;6),"Nâng (PcVK +PcNG) cùng QĐ",("---"))))))))</f>
        <v>---</v>
      </c>
      <c r="CV21" s="1434" t="str">
        <f t="shared" si="25"/>
        <v>/-/ /-/</v>
      </c>
      <c r="CW21" s="1434">
        <f t="shared" si="26"/>
        <v>11</v>
      </c>
      <c r="CX21" s="1434">
        <f t="shared" si="27"/>
        <v>2042</v>
      </c>
      <c r="CY21" s="1434">
        <f t="shared" si="28"/>
        <v>8</v>
      </c>
      <c r="CZ21" s="1434">
        <f t="shared" si="29"/>
        <v>2042</v>
      </c>
      <c r="DA21" s="1434">
        <f t="shared" si="30"/>
        <v>5</v>
      </c>
      <c r="DB21" s="1436">
        <f t="shared" si="31"/>
        <v>2042</v>
      </c>
      <c r="DC21" s="1437" t="str">
        <f t="shared" si="32"/>
        <v>- - -</v>
      </c>
      <c r="DD21" s="1437" t="str">
        <f t="shared" si="33"/>
        <v>. .</v>
      </c>
      <c r="DE21" s="1425"/>
      <c r="DF21" s="1425">
        <f t="shared" si="34"/>
        <v>720</v>
      </c>
      <c r="DG21" s="1425">
        <f t="shared" si="35"/>
        <v>-23782</v>
      </c>
      <c r="DH21" s="1425">
        <f t="shared" si="36"/>
        <v>-1982</v>
      </c>
      <c r="DI21" s="1425" t="str">
        <f t="shared" si="37"/>
        <v>Nam dưới 35</v>
      </c>
      <c r="DJ21" s="1425"/>
      <c r="DK21" s="1427"/>
      <c r="DL21" s="1414" t="str">
        <f t="shared" si="38"/>
        <v>Đến 30</v>
      </c>
      <c r="DM21" s="1399" t="str">
        <f t="shared" si="39"/>
        <v>--</v>
      </c>
      <c r="DN21" s="1399"/>
      <c r="DO21" s="1399"/>
      <c r="DP21" s="1399"/>
      <c r="DQ21" s="1414"/>
      <c r="DR21" s="1414"/>
      <c r="DS21" s="1438"/>
      <c r="DT21" s="1439"/>
      <c r="DU21" s="1415"/>
      <c r="DV21" s="1438"/>
      <c r="DW21" s="1410" t="s">
        <v>370</v>
      </c>
      <c r="DX21" s="1440" t="s">
        <v>417</v>
      </c>
      <c r="DY21" s="1440" t="s">
        <v>370</v>
      </c>
      <c r="DZ21" s="1440" t="s">
        <v>342</v>
      </c>
      <c r="EA21" s="1441" t="s">
        <v>360</v>
      </c>
      <c r="EB21" s="1440" t="s">
        <v>372</v>
      </c>
      <c r="EC21" s="1399" t="s">
        <v>360</v>
      </c>
      <c r="ED21" s="1410">
        <v>2014</v>
      </c>
      <c r="EE21" s="1440">
        <f t="shared" si="40"/>
        <v>0</v>
      </c>
      <c r="EF21" s="1440" t="str">
        <f t="shared" si="41"/>
        <v>- - -</v>
      </c>
      <c r="EG21" s="1440" t="s">
        <v>342</v>
      </c>
      <c r="EH21" s="1441" t="s">
        <v>360</v>
      </c>
      <c r="EI21" s="1399" t="s">
        <v>372</v>
      </c>
      <c r="EJ21" s="1414" t="s">
        <v>360</v>
      </c>
      <c r="EK21" s="1436">
        <v>2014</v>
      </c>
      <c r="EL21" s="1415"/>
      <c r="EM21" s="1434" t="str">
        <f t="shared" si="42"/>
        <v>- - -</v>
      </c>
      <c r="EN21" s="1434" t="str">
        <f t="shared" si="43"/>
        <v>---</v>
      </c>
    </row>
    <row r="22" spans="1:144" s="1434" customFormat="1" ht="42" customHeight="1" x14ac:dyDescent="0.2">
      <c r="A22" s="1399">
        <v>660</v>
      </c>
      <c r="B22" s="1400">
        <v>8</v>
      </c>
      <c r="C22" s="1399"/>
      <c r="D22" s="1399" t="str">
        <f t="shared" si="0"/>
        <v>Bà</v>
      </c>
      <c r="E22" s="1401" t="s">
        <v>84</v>
      </c>
      <c r="F22" s="1402" t="s">
        <v>381</v>
      </c>
      <c r="G22" s="1403" t="s">
        <v>279</v>
      </c>
      <c r="H22" s="1403" t="s">
        <v>360</v>
      </c>
      <c r="I22" s="1403" t="s">
        <v>377</v>
      </c>
      <c r="J22" s="720" t="s">
        <v>360</v>
      </c>
      <c r="K22" s="720" t="s">
        <v>13</v>
      </c>
      <c r="L22" s="720" t="s">
        <v>452</v>
      </c>
      <c r="M22" s="720" t="str">
        <f t="shared" si="1"/>
        <v>VC</v>
      </c>
      <c r="N22" s="720"/>
      <c r="O22" s="720" t="e">
        <f t="shared" si="2"/>
        <v>#N/A</v>
      </c>
      <c r="P22" s="720"/>
      <c r="Q22" s="1401" t="e">
        <f>VLOOKUP(P22,'[1]- DLiêu Gốc (Không sửa)'!$C$2:$H$116,2,0)</f>
        <v>#N/A</v>
      </c>
      <c r="R22" s="1404" t="s">
        <v>621</v>
      </c>
      <c r="S22" s="722" t="s">
        <v>557</v>
      </c>
      <c r="T22" s="1405" t="str">
        <f>VLOOKUP(Y22,'Du lieu lien quan'!$C$2:$H$60,5,0)</f>
        <v>A1</v>
      </c>
      <c r="U22" s="1405" t="str">
        <f>VLOOKUP(Y22,'Du lieu lien quan'!$C$2:$H$60,6,0)</f>
        <v>- - -</v>
      </c>
      <c r="V22" s="1405" t="s">
        <v>424</v>
      </c>
      <c r="W22" s="1406" t="str">
        <f t="shared" si="3"/>
        <v>Giảng viên (hạng III)</v>
      </c>
      <c r="X22" s="761" t="str">
        <f t="shared" si="4"/>
        <v>V.07.01.03</v>
      </c>
      <c r="Y22" s="722" t="s">
        <v>430</v>
      </c>
      <c r="Z22" s="761" t="str">
        <f>VLOOKUP(Y22,'Du lieu lien quan'!$C$1:$H$133,2,0)</f>
        <v>V.07.01.03</v>
      </c>
      <c r="AA22" s="761" t="str">
        <f t="shared" si="5"/>
        <v>Lương</v>
      </c>
      <c r="AB22" s="1407">
        <v>4</v>
      </c>
      <c r="AC22" s="756" t="s">
        <v>360</v>
      </c>
      <c r="AD22" s="756">
        <v>9</v>
      </c>
      <c r="AE22" s="1408">
        <f t="shared" si="6"/>
        <v>3.33</v>
      </c>
      <c r="AF22" s="1409"/>
      <c r="AG22" s="722"/>
      <c r="AH22" s="1410" t="s">
        <v>342</v>
      </c>
      <c r="AI22" s="727" t="s">
        <v>360</v>
      </c>
      <c r="AJ22" s="1442" t="s">
        <v>372</v>
      </c>
      <c r="AK22" s="1412" t="s">
        <v>360</v>
      </c>
      <c r="AL22" s="1413">
        <v>2019</v>
      </c>
      <c r="AM22" s="1414"/>
      <c r="AN22" s="1415"/>
      <c r="AO22" s="1416">
        <f t="shared" si="7"/>
        <v>5</v>
      </c>
      <c r="AP22" s="1417" t="str">
        <f t="shared" si="8"/>
        <v>/</v>
      </c>
      <c r="AQ22" s="1418">
        <f t="shared" si="9"/>
        <v>9</v>
      </c>
      <c r="AR22" s="1419">
        <f t="shared" si="10"/>
        <v>3.66</v>
      </c>
      <c r="AS22" s="722"/>
      <c r="AT22" s="1420" t="s">
        <v>342</v>
      </c>
      <c r="AU22" s="1421" t="s">
        <v>360</v>
      </c>
      <c r="AV22" s="1411" t="s">
        <v>372</v>
      </c>
      <c r="AW22" s="1418" t="s">
        <v>360</v>
      </c>
      <c r="AX22" s="1422">
        <v>2022</v>
      </c>
      <c r="AY22" s="1423"/>
      <c r="AZ22" s="1414"/>
      <c r="BA22" s="1424"/>
      <c r="BB22" s="1425">
        <f t="shared" si="11"/>
        <v>3</v>
      </c>
      <c r="BC22" s="1426">
        <f t="shared" si="12"/>
        <v>-24274</v>
      </c>
      <c r="BD22" s="1426">
        <f>VLOOKUP(Y22,'Du lieu lien quan'!$C$1:$F$60,3,0)</f>
        <v>2.34</v>
      </c>
      <c r="BE22" s="1427">
        <f>VLOOKUP(Y22,'Du lieu lien quan'!$C$1:$F$60,4,0)</f>
        <v>0.33</v>
      </c>
      <c r="BF22" s="1428" t="str">
        <f t="shared" si="13"/>
        <v>PCTN</v>
      </c>
      <c r="BG22" s="1429">
        <v>10</v>
      </c>
      <c r="BH22" s="1430" t="s">
        <v>333</v>
      </c>
      <c r="BI22" s="1431" t="s">
        <v>342</v>
      </c>
      <c r="BJ22" s="1432" t="s">
        <v>360</v>
      </c>
      <c r="BK22" s="1431" t="s">
        <v>348</v>
      </c>
      <c r="BL22" s="1415" t="s">
        <v>360</v>
      </c>
      <c r="BM22" s="1396">
        <v>2021</v>
      </c>
      <c r="BN22" s="1397"/>
      <c r="BO22" s="1428"/>
      <c r="BP22" s="1429">
        <f>IF(BG22&gt;3,BG22+1,0)</f>
        <v>11</v>
      </c>
      <c r="BQ22" s="1430" t="s">
        <v>333</v>
      </c>
      <c r="BR22" s="1431" t="s">
        <v>342</v>
      </c>
      <c r="BS22" s="1432" t="s">
        <v>360</v>
      </c>
      <c r="BT22" s="1431" t="s">
        <v>348</v>
      </c>
      <c r="BU22" s="1415" t="s">
        <v>360</v>
      </c>
      <c r="BV22" s="729">
        <v>2022</v>
      </c>
      <c r="BW22" s="1414" t="s">
        <v>646</v>
      </c>
      <c r="BX22" s="1427"/>
      <c r="BY22" s="1427">
        <f t="shared" si="14"/>
        <v>-24271</v>
      </c>
      <c r="BZ22" s="1415" t="e">
        <f>IF(BH22&gt;3,(($BG$2-BW22)*12+($BG$4-BU22)-BO22),"- - -")</f>
        <v>#VALUE!</v>
      </c>
      <c r="CA22" s="1433" t="str">
        <f t="shared" si="16"/>
        <v>Chánh Văn phòng Học viện, Trưởng Ban Tổ chức - Cán bộ, Trưởng Phân viện Học viện Hành chính Quốc gia tại Thành phố Hồ Chí Minh</v>
      </c>
      <c r="CB22" s="1425" t="str">
        <f t="shared" si="17"/>
        <v>A</v>
      </c>
      <c r="CC22" s="1425" t="str">
        <f t="shared" si="18"/>
        <v>=&gt; s</v>
      </c>
      <c r="CD22" s="1399">
        <f t="shared" si="19"/>
        <v>24298</v>
      </c>
      <c r="CE22" s="1399" t="str">
        <f t="shared" si="20"/>
        <v>---</v>
      </c>
      <c r="CG22" s="1399"/>
      <c r="CI22" s="1399"/>
      <c r="CJ22" s="1414" t="str">
        <f t="shared" si="21"/>
        <v>- - -</v>
      </c>
      <c r="CK22" s="1414" t="str">
        <f t="shared" si="22"/>
        <v>- - -</v>
      </c>
      <c r="CL22" s="1399"/>
      <c r="CM22" s="1414"/>
      <c r="CN22" s="1414"/>
      <c r="CO22" s="1414"/>
      <c r="CP22" s="1414" t="str">
        <f t="shared" si="23"/>
        <v>- - -</v>
      </c>
      <c r="CQ22" s="1399"/>
      <c r="CR22" s="1414"/>
      <c r="CS22" s="1414"/>
      <c r="CT22" s="1435"/>
      <c r="CU22" s="1398" t="e">
        <f>IF(AND(CV22="Hưu",AB22&lt;(AD22-1),DC22&gt;0,DC22&lt;18,OR(BG22&lt;4,AND(BG22&gt;3,OR(BZ22&lt;3,BZ22&gt;5)))),"Lg Sớm",IF(AND(CV22="Hưu",AB22&gt;(AD22-2),OR(BE22=0.33,BE22=0.34),OR(BG22&lt;4,AND(BG22&gt;3,OR(BZ22&lt;3,BZ22&gt;5)))),"Nâng Ngạch",IF(AND(CV22="Hưu",BB22=1,DC22&gt;2,DC22&lt;6,OR(BG22&lt;4,AND(BG22&gt;3,OR(BZ22&lt;3,BZ22&gt;5)))),"Nâng PcVK cùng QĐ",IF(AND(CV22="Hưu",BG22&gt;3,BZ22&gt;2,BZ22&lt;6,AB22&lt;(AD22-1),DC22&gt;17,OR(BB22&gt;1,AND(BB22=1,OR(DC22&lt;3,DC22&gt;5)))),"Nâng PcNG cùng QĐ",IF(AND(CV22="Hưu",AB22&lt;(AD22-1),DC22&gt;0,DC22&lt;18,BG22&gt;3,BZ22&gt;2,BZ22&lt;6),"Nâng Lg Sớm +(PcNG cùng QĐ)",IF(AND(CV22="Hưu",AB22&gt;(AD22-2),OR(BE22=0.33,BE22=0.34),BG22&gt;3,BZ22&gt;2,BZ22&lt;6),"Nâng Ngạch +(PcNG cùng QĐ)",IF(AND(CV22="Hưu",BB22=1,DC22&gt;2,DC22&lt;6,BG22&gt;3,BZ22&gt;2,BZ22&lt;6),"Nâng (PcVK +PcNG) cùng QĐ",("---"))))))))</f>
        <v>#VALUE!</v>
      </c>
      <c r="CV22" s="1434" t="str">
        <f t="shared" si="25"/>
        <v>/-/ /-/</v>
      </c>
      <c r="CW22" s="1434">
        <f t="shared" si="26"/>
        <v>5</v>
      </c>
      <c r="CX22" s="1434">
        <f t="shared" si="27"/>
        <v>2042</v>
      </c>
      <c r="CY22" s="1434">
        <f t="shared" si="28"/>
        <v>2</v>
      </c>
      <c r="CZ22" s="1434">
        <f t="shared" si="29"/>
        <v>2042</v>
      </c>
      <c r="DA22" s="1434">
        <f t="shared" si="30"/>
        <v>11</v>
      </c>
      <c r="DB22" s="1436">
        <f t="shared" si="31"/>
        <v>2041</v>
      </c>
      <c r="DC22" s="1437" t="str">
        <f t="shared" si="32"/>
        <v>- - -</v>
      </c>
      <c r="DD22" s="1437" t="str">
        <f t="shared" si="33"/>
        <v>. .</v>
      </c>
      <c r="DE22" s="1425"/>
      <c r="DF22" s="1425">
        <f t="shared" si="34"/>
        <v>660</v>
      </c>
      <c r="DG22" s="1425">
        <f t="shared" si="35"/>
        <v>-23836</v>
      </c>
      <c r="DH22" s="1425">
        <f t="shared" si="36"/>
        <v>-1987</v>
      </c>
      <c r="DI22" s="1425" t="str">
        <f t="shared" si="37"/>
        <v>Nữ dưới 30</v>
      </c>
      <c r="DJ22" s="1425"/>
      <c r="DK22" s="1427"/>
      <c r="DL22" s="1414" t="str">
        <f t="shared" si="38"/>
        <v>Đến 30</v>
      </c>
      <c r="DM22" s="1399" t="str">
        <f t="shared" si="39"/>
        <v>--</v>
      </c>
      <c r="DN22" s="1399"/>
      <c r="DO22" s="1399"/>
      <c r="DP22" s="1399"/>
      <c r="DQ22" s="1414"/>
      <c r="DR22" s="1414"/>
      <c r="DS22" s="1438"/>
      <c r="DT22" s="1439"/>
      <c r="DU22" s="1415"/>
      <c r="DV22" s="1438"/>
      <c r="DW22" s="1410" t="s">
        <v>82</v>
      </c>
      <c r="DX22" s="1440" t="s">
        <v>416</v>
      </c>
      <c r="DY22" s="1440" t="s">
        <v>82</v>
      </c>
      <c r="DZ22" s="1440" t="s">
        <v>342</v>
      </c>
      <c r="EA22" s="1441" t="s">
        <v>360</v>
      </c>
      <c r="EB22" s="1440" t="s">
        <v>348</v>
      </c>
      <c r="EC22" s="1399" t="s">
        <v>360</v>
      </c>
      <c r="ED22" s="1410" t="s">
        <v>364</v>
      </c>
      <c r="EE22" s="1440">
        <f t="shared" si="40"/>
        <v>0</v>
      </c>
      <c r="EF22" s="1440" t="str">
        <f t="shared" si="41"/>
        <v>- - -</v>
      </c>
      <c r="EG22" s="1440" t="s">
        <v>342</v>
      </c>
      <c r="EH22" s="1441" t="s">
        <v>360</v>
      </c>
      <c r="EI22" s="1399" t="s">
        <v>348</v>
      </c>
      <c r="EJ22" s="1414" t="s">
        <v>360</v>
      </c>
      <c r="EK22" s="1436" t="s">
        <v>364</v>
      </c>
      <c r="EL22" s="1415"/>
      <c r="EM22" s="1434" t="str">
        <f t="shared" si="42"/>
        <v>- - -</v>
      </c>
      <c r="EN22" s="1434" t="str">
        <f t="shared" si="43"/>
        <v>---</v>
      </c>
    </row>
    <row r="23" spans="1:144" s="2252" customFormat="1" ht="30.75" customHeight="1" x14ac:dyDescent="0.2">
      <c r="A23" s="2202"/>
      <c r="B23" s="1396" t="s">
        <v>659</v>
      </c>
      <c r="C23" s="1396"/>
      <c r="D23" s="1397"/>
      <c r="E23" s="1397" t="s">
        <v>660</v>
      </c>
      <c r="F23" s="2203"/>
      <c r="G23" s="2204"/>
      <c r="H23" s="2204"/>
      <c r="I23" s="2204"/>
      <c r="J23" s="2205"/>
      <c r="K23" s="2205"/>
      <c r="L23" s="2205"/>
      <c r="M23" s="2205"/>
      <c r="N23" s="2205"/>
      <c r="O23" s="2205"/>
      <c r="P23" s="2205"/>
      <c r="Q23" s="1397"/>
      <c r="R23" s="2206"/>
      <c r="S23" s="2207"/>
      <c r="T23" s="2208" t="s">
        <v>105</v>
      </c>
      <c r="U23" s="2208" t="s">
        <v>216</v>
      </c>
      <c r="V23" s="2209" t="s">
        <v>425</v>
      </c>
      <c r="W23" s="1398"/>
      <c r="X23" s="2210"/>
      <c r="Y23" s="2211"/>
      <c r="Z23" s="2212"/>
      <c r="AA23" s="2213"/>
      <c r="AB23" s="2214"/>
      <c r="AC23" s="2215"/>
      <c r="AD23" s="2216"/>
      <c r="AE23" s="2217"/>
      <c r="AF23" s="2218"/>
      <c r="AG23" s="2216"/>
      <c r="AH23" s="2219"/>
      <c r="AI23" s="2220"/>
      <c r="AJ23" s="2221"/>
      <c r="AK23" s="2222"/>
      <c r="AL23" s="2223"/>
      <c r="AM23" s="2224"/>
      <c r="AN23" s="2225"/>
      <c r="AO23" s="2226"/>
      <c r="AP23" s="2227"/>
      <c r="AQ23" s="2228"/>
      <c r="AR23" s="2218"/>
      <c r="AS23" s="2215"/>
      <c r="AT23" s="2229"/>
      <c r="AU23" s="2230"/>
      <c r="AV23" s="2231"/>
      <c r="AW23" s="2232"/>
      <c r="AX23" s="2233"/>
      <c r="AY23" s="2234"/>
      <c r="AZ23" s="2235"/>
      <c r="BA23" s="2236"/>
      <c r="BB23" s="2236"/>
      <c r="BC23" s="2237"/>
      <c r="BD23" s="2238"/>
      <c r="BE23" s="2239"/>
      <c r="BF23" s="2239"/>
      <c r="BG23" s="2240"/>
      <c r="BH23" s="2241"/>
      <c r="BI23" s="2241"/>
      <c r="BJ23" s="2239"/>
      <c r="BK23" s="2242"/>
      <c r="BL23" s="2243"/>
      <c r="BM23" s="2244"/>
      <c r="BN23" s="2245"/>
      <c r="BO23" s="2245"/>
      <c r="BP23" s="2245"/>
      <c r="BQ23" s="2245"/>
      <c r="BR23" s="2245"/>
      <c r="BS23" s="2239"/>
      <c r="BT23" s="2246"/>
      <c r="BU23" s="2247"/>
      <c r="BV23" s="2239"/>
      <c r="BW23" s="2240"/>
      <c r="BX23" s="2237"/>
      <c r="BY23" s="2248"/>
      <c r="BZ23" s="2249"/>
      <c r="CA23" s="2202"/>
      <c r="CB23" s="2250"/>
      <c r="CC23" s="2250"/>
      <c r="CD23" s="2202"/>
      <c r="CE23" s="2251"/>
      <c r="CF23" s="2202"/>
      <c r="CG23" s="2202"/>
      <c r="CX23" s="2253"/>
      <c r="CY23" s="2254"/>
      <c r="CZ23" s="2255"/>
      <c r="DA23" s="2202"/>
      <c r="DB23" s="2256"/>
      <c r="DC23" s="2256"/>
      <c r="DD23" s="2256"/>
      <c r="DE23" s="2256"/>
      <c r="DF23" s="2257"/>
      <c r="DG23" s="2258"/>
      <c r="DH23" s="2258"/>
      <c r="DI23" s="2256"/>
      <c r="DJ23" s="2259"/>
      <c r="DK23" s="2258"/>
      <c r="DL23" s="2260"/>
      <c r="DM23" s="2260"/>
    </row>
    <row r="24" spans="1:144" s="1434" customFormat="1" ht="40.5" customHeight="1" x14ac:dyDescent="0.2">
      <c r="A24" s="1399">
        <v>810</v>
      </c>
      <c r="B24" s="1400">
        <v>9</v>
      </c>
      <c r="C24" s="1399"/>
      <c r="D24" s="1399" t="str">
        <f>IF(F24="Nam","Ông","Bà")</f>
        <v>Bà</v>
      </c>
      <c r="E24" s="1401" t="s">
        <v>154</v>
      </c>
      <c r="F24" s="1402" t="s">
        <v>381</v>
      </c>
      <c r="G24" s="1403" t="s">
        <v>326</v>
      </c>
      <c r="H24" s="1403" t="s">
        <v>360</v>
      </c>
      <c r="I24" s="1403" t="s">
        <v>372</v>
      </c>
      <c r="J24" s="720" t="s">
        <v>360</v>
      </c>
      <c r="K24" s="720">
        <v>1970</v>
      </c>
      <c r="L24" s="720" t="s">
        <v>452</v>
      </c>
      <c r="M24" s="720" t="str">
        <f>IF(L24="công chức","CC",IF(L24="viên chức","VC",IF(L24="người lao động","NLĐ","- - -")))</f>
        <v>VC</v>
      </c>
      <c r="N24" s="720"/>
      <c r="O24" s="720" t="e">
        <f>IF(AND((Q24+0)&gt;0.3,(Q24+0)&lt;1.5),"CVụ","- -")</f>
        <v>#N/A</v>
      </c>
      <c r="P24" s="720"/>
      <c r="Q24" s="1401" t="e">
        <f>VLOOKUP(P24,'[1]- DLiêu Gốc (Không sửa)'!$C$2:$H$116,2,0)</f>
        <v>#N/A</v>
      </c>
      <c r="R24" s="1404" t="s">
        <v>153</v>
      </c>
      <c r="S24" s="722" t="s">
        <v>557</v>
      </c>
      <c r="T24" s="1405" t="str">
        <f>VLOOKUP(Y24,'Du lieu lien quan'!$C$2:$H$60,5,0)</f>
        <v>A1</v>
      </c>
      <c r="U24" s="1405" t="str">
        <f>VLOOKUP(Y24,'Du lieu lien quan'!$C$2:$H$60,6,0)</f>
        <v>- - -</v>
      </c>
      <c r="V24" s="1405" t="s">
        <v>425</v>
      </c>
      <c r="W24" s="1406" t="str">
        <f>IF(OR(Y24="Kỹ thuật viên đánh máy",Y24="Nhân viên đánh máy",Y24="Nhân viên kỹ thuật",Y24="Nhân viên văn thư",Y24="Nhân viên phục vụ",Y24="Lái xe cơ quan",Y24="Nhân viên bảo vệ"),"Nhân viên",Y24)</f>
        <v>Chuyên viên</v>
      </c>
      <c r="X24" s="761" t="str">
        <f>IF(W24="Nhân viên","01.005",Z24)</f>
        <v>01.003</v>
      </c>
      <c r="Y24" s="722" t="s">
        <v>340</v>
      </c>
      <c r="Z24" s="761" t="str">
        <f>VLOOKUP(Y24,'Du lieu lien quan'!$C$1:$H$133,2,0)</f>
        <v>01.003</v>
      </c>
      <c r="AA24" s="761" t="str">
        <f>IF(OR(AND(BC24=36,BB24=3),AND(BC24=24,BB24=2),AND(BC24=12,BB24=1)),"Đến $",IF(OR(AND(BC24&gt;36,BB24=3),AND(BC24&gt;24,BB24=2),AND(BC24&gt;12,BB24=1)),"Dừng $","Lương"))</f>
        <v>Lương</v>
      </c>
      <c r="AB24" s="1407">
        <v>9</v>
      </c>
      <c r="AC24" s="756" t="s">
        <v>360</v>
      </c>
      <c r="AD24" s="756">
        <v>9</v>
      </c>
      <c r="AE24" s="1408">
        <f>BD24+(AB24-1)*BE24</f>
        <v>4.9800000000000004</v>
      </c>
      <c r="AF24" s="1409"/>
      <c r="AG24" s="722"/>
      <c r="AH24" s="1410" t="s">
        <v>342</v>
      </c>
      <c r="AI24" s="727" t="s">
        <v>360</v>
      </c>
      <c r="AJ24" s="1442" t="s">
        <v>372</v>
      </c>
      <c r="AK24" s="1412" t="s">
        <v>360</v>
      </c>
      <c r="AL24" s="1413">
        <v>2019</v>
      </c>
      <c r="AM24" s="1414"/>
      <c r="AN24" s="1415"/>
      <c r="AO24" s="1416"/>
      <c r="AP24" s="1417"/>
      <c r="AQ24" s="1418"/>
      <c r="AR24" s="2281">
        <v>5</v>
      </c>
      <c r="AS24" s="722" t="s">
        <v>333</v>
      </c>
      <c r="AT24" s="1420" t="s">
        <v>342</v>
      </c>
      <c r="AU24" s="1421" t="s">
        <v>360</v>
      </c>
      <c r="AV24" s="1411" t="s">
        <v>372</v>
      </c>
      <c r="AW24" s="1418" t="s">
        <v>360</v>
      </c>
      <c r="AX24" s="1422">
        <v>2022</v>
      </c>
      <c r="AY24" s="1423"/>
      <c r="AZ24" s="1414"/>
      <c r="BA24" s="1424"/>
      <c r="BB24" s="1425">
        <f>IF(AND(AD24&gt;AB24,OR(BE24=0.18,BE24=0.2)),2,IF(AND(AD24&gt;AB24,OR(BE24=0.31,BE24=0.33,BE24=0.34,BE24=0.36)),3,IF(AD24=AB24,1)))</f>
        <v>1</v>
      </c>
      <c r="BC24" s="1426">
        <f>12*($AA$2-AX24)+($AA$3-AV24)-AM24</f>
        <v>-24274</v>
      </c>
      <c r="BD24" s="1426">
        <f>VLOOKUP(Y24,'Du lieu lien quan'!$C$1:$F$60,3,0)</f>
        <v>2.34</v>
      </c>
      <c r="BE24" s="1427">
        <f>VLOOKUP(Y24,'Du lieu lien quan'!$C$1:$F$60,4,0)</f>
        <v>0.33</v>
      </c>
      <c r="BF24" s="1428" t="str">
        <f>IF(AND(BG24&gt;3,BY24=12),"Đến %",IF(AND(BG24&gt;3,BY24&gt;12,BY24&lt;120),"Dừng %",IF(AND(BG24&gt;3,BY24&lt;12),"PCTN","o-o-o")))</f>
        <v>o-o-o</v>
      </c>
      <c r="BG24" s="1429"/>
      <c r="BH24" s="1430"/>
      <c r="BI24" s="1431"/>
      <c r="BJ24" s="1432"/>
      <c r="BK24" s="1431"/>
      <c r="BL24" s="1415"/>
      <c r="BM24" s="1396"/>
      <c r="BN24" s="1397"/>
      <c r="BO24" s="1428"/>
      <c r="BP24" s="1429"/>
      <c r="BQ24" s="1430"/>
      <c r="BR24" s="1431"/>
      <c r="BS24" s="1432"/>
      <c r="BT24" s="1431"/>
      <c r="BU24" s="1415"/>
      <c r="BV24" s="729"/>
      <c r="BW24" s="1414"/>
      <c r="BX24" s="1427"/>
      <c r="BY24" s="1427" t="str">
        <f>IF(BG24&gt;3,(($BF$2-BV24)*12+($BF$3-BT24)-BN24),"- - -")</f>
        <v>- - -</v>
      </c>
      <c r="BZ24" s="1415" t="str">
        <f>IF(AND(CV24="Hưu",BG24&gt;3),12-(12*(DB24-BV24)+(DA24-BT24))-BN24,"- - -")</f>
        <v>- - -</v>
      </c>
      <c r="CA24" s="1433" t="str">
        <f>IF(OR(S24="Ban Tổ chức - Cán bộ",S24="Văn phòng Học viện",S24="Phó Giám đốc Thường trực Học viện",S24="Phó Giám đốc Học viện"),"Chánh Văn phòng Học viện, Trưởng Ban Tổ chức - Cán bộ",IF(OR(S24="Trung tâm Ngoại ngữ",S24="Trung tâm Tin học hành chính và Công nghệ thông tin",S24="Trung tâm Tin học - Thư viện",S24="Phân viện khu vực Tây Nguyên"),"Chánh Văn phòng Học viện, Trưởng Ban Tổ chức - Cán bộ, "&amp;CONCATENATE("Giám đốc ",S24),IF(S24="Tạp chí Quản lý nhà nước","Chánh Văn phòng Học viện, Trưởng Ban Tổ chức - Cán bộ, "&amp;CONCATENATE("Tổng Biên tập ",S24),IF(S24="Văn phòng Đảng uỷ Học viện","Chánh Văn phòng Học viện, Trưởng Ban Tổ chức - Cán bộ, "&amp;CONCATENATE("Chánh",S24),IF(S24="Viện Nghiên cứu Khoa học hành chính","Chánh Văn phòng Học viện, Trưởng Ban Tổ chức - Cán bộ, "&amp;CONCATENATE("Viện Trưởng ",S24),IF(OR(S24="Cơ sở Học viện Hành chính Quốc gia khu vực miền Trung",S24="Cơ sở Học viện Hành chính Quốc gia tại Thành phố Hồ Chí Minh"),"Chánh Văn phòng Học viện, Trưởng Ban Tổ chức - Cán bộ, "&amp;CONCATENATE("Thủ trưởng ",S24),"Chánh Văn phòng Học viện, Trưởng Ban Tổ chức - Cán bộ, "&amp;CONCATENATE("Trưởng ",S24)))))))</f>
        <v>Chánh Văn phòng Học viện, Trưởng Ban Tổ chức - Cán bộ, Trưởng Phân viện Học viện Hành chính Quốc gia tại Thành phố Hồ Chí Minh</v>
      </c>
      <c r="CB24" s="1425" t="str">
        <f>IF(S24="Cơ sở Học viện Hành chính khu vực miền Trung","B",IF(S24="Phân viện Khu vực Tây Nguyên","C",IF(S24="Cơ sở Học viện Hành chính tại thành phố Hồ Chí Minh","D","A")))</f>
        <v>A</v>
      </c>
      <c r="CC24" s="1425" t="str">
        <f>IF(AND(AO24&gt;0,AB24&lt;(AD24-1),CD24&gt;0,CD24&lt;13,OR(AND(CJ24="Cùg Ng",($CC$2-CF24)&gt;BB24),CJ24="- - -")),"Sớm TT","=&gt; s")</f>
        <v>=&gt; s</v>
      </c>
      <c r="CD24" s="1399" t="str">
        <f>IF(BB24=3,36-(12*($CC$2-AX24)+(12-AV24)-AM24),IF(BB24=2,24-(12*($CC$2-AX24)+(12-AV24)-AM24),"---"))</f>
        <v>---</v>
      </c>
      <c r="CE24" s="1399" t="str">
        <f>IF(CF24&gt;1,"S","---")</f>
        <v>---</v>
      </c>
      <c r="CG24" s="1399"/>
      <c r="CI24" s="1399"/>
      <c r="CJ24" s="1414" t="str">
        <f>IF(X24=CG24,"Cùg Ng","- - -")</f>
        <v>- - -</v>
      </c>
      <c r="CK24" s="1414" t="str">
        <f>IF(CM24&gt;2000,"NN","- - -")</f>
        <v>- - -</v>
      </c>
      <c r="CL24" s="1399"/>
      <c r="CM24" s="1414"/>
      <c r="CN24" s="1414"/>
      <c r="CO24" s="1414"/>
      <c r="CP24" s="1414" t="str">
        <f>IF(CR24&gt;2000,"CN","- - -")</f>
        <v>- - -</v>
      </c>
      <c r="CQ24" s="1399"/>
      <c r="CR24" s="1414"/>
      <c r="CS24" s="1414"/>
      <c r="CT24" s="1435"/>
      <c r="CU24" s="1398" t="str">
        <f>IF(AND(CV24="Hưu",AB24&lt;(AD24-1),DC24&gt;0,DC24&lt;18,OR(BG24&lt;4,AND(BG24&gt;3,OR(BZ24&lt;3,BZ24&gt;5)))),"Lg Sớm",IF(AND(CV24="Hưu",AB24&gt;(AD24-2),OR(BE24=0.33,BE24=0.34),OR(BG24&lt;4,AND(BG24&gt;3,OR(BZ24&lt;3,BZ24&gt;5)))),"Nâng Ngạch",IF(AND(CV24="Hưu",BB24=1,DC24&gt;2,DC24&lt;6,OR(BG24&lt;4,AND(BG24&gt;3,OR(BZ24&lt;3,BZ24&gt;5)))),"Nâng PcVK cùng QĐ",IF(AND(CV24="Hưu",BG24&gt;3,BZ24&gt;2,BZ24&lt;6,AB24&lt;(AD24-1),DC24&gt;17,OR(BB24&gt;1,AND(BB24=1,OR(DC24&lt;3,DC24&gt;5)))),"Nâng PcNG cùng QĐ",IF(AND(CV24="Hưu",AB24&lt;(AD24-1),DC24&gt;0,DC24&lt;18,BG24&gt;3,BZ24&gt;2,BZ24&lt;6),"Nâng Lg Sớm +(PcNG cùng QĐ)",IF(AND(CV24="Hưu",AB24&gt;(AD24-2),OR(BE24=0.33,BE24=0.34),BG24&gt;3,BZ24&gt;2,BZ24&lt;6),"Nâng Ngạch +(PcNG cùng QĐ)",IF(AND(CV24="Hưu",BB24=1,DC24&gt;2,DC24&lt;6,BG24&gt;3,BZ24&gt;2,BZ24&lt;6),"Nâng (PcVK +PcNG) cùng QĐ",("---"))))))))</f>
        <v>---</v>
      </c>
      <c r="CV24" s="1434" t="str">
        <f>IF(AND(DG24&gt;DF24,DG24&lt;(DF24+13)),"Hưu",IF(AND(DG24&gt;(DF24+12),DG24&lt;1000),"Quá","/-/ /-/"))</f>
        <v>/-/ /-/</v>
      </c>
      <c r="CW24" s="1434">
        <f>IF((I24+0)&lt;12,(I24+0)+1,IF((I24+0)=12,1,IF((I24+0)&gt;12,(I24+0)-12)))</f>
        <v>11</v>
      </c>
      <c r="CX24" s="1434">
        <f>IF(OR((I24+0)=12,(I24+0)&gt;12),K24+DF24/12+1,IF(AND((I24+0)&gt;0,(I24+0)&lt;12),K24+DF24/12,"---"))</f>
        <v>2025</v>
      </c>
      <c r="CY24" s="1434">
        <f>IF(AND(CW24&gt;3,CW24&lt;13),CW24-3,IF(CW24&lt;4,CW24-3+12))</f>
        <v>8</v>
      </c>
      <c r="CZ24" s="1434">
        <f>IF(CY24&lt;CW24,CX24,IF(CY24&gt;CW24,CX24-1))</f>
        <v>2025</v>
      </c>
      <c r="DA24" s="1434">
        <f>IF(CW24&gt;6,CW24-6,IF(CW24=6,12,IF(CW24&lt;6,CW24+6)))</f>
        <v>5</v>
      </c>
      <c r="DB24" s="1436">
        <f>IF(CW24&gt;6,CX24,IF(CW24&lt;7,CX24-1))</f>
        <v>2025</v>
      </c>
      <c r="DC24" s="1437" t="str">
        <f>IF(AND(CV24="Hưu",BB24=3),36+AM24-(12*(DB24-AX24)+(DA24-AV24)),IF(AND(CV24="Hưu",BB24=2),24+AM24-(12*(DB24-AX24)+(DA24-AV24)),IF(AND(CV24="Hưu",BB24=1),12+AM24-(12*(DB24-AX24)+(DA24-AV24)),"- - -")))</f>
        <v>- - -</v>
      </c>
      <c r="DD24" s="1437" t="str">
        <f>IF(DE24&gt;0,"K.Dài",". .")</f>
        <v>. .</v>
      </c>
      <c r="DE24" s="1425"/>
      <c r="DF24" s="1425">
        <f>IF(F24="Nam",(60+DE24)*12,IF(F24="Nữ",(55+DE24)*12,))</f>
        <v>660</v>
      </c>
      <c r="DG24" s="1425">
        <f>12*($CV$4-K24)+(12-I24)</f>
        <v>-23638</v>
      </c>
      <c r="DH24" s="1425">
        <f>$DL$4-K24</f>
        <v>-1970</v>
      </c>
      <c r="DI24" s="1425" t="str">
        <f>IF(AND(DH24&lt;35,F24="Nam"),"Nam dưới 35",IF(AND(DH24&lt;30,F24="Nữ"),"Nữ dưới 30",IF(AND(DH24&gt;34,DH24&lt;46,F24="Nam"),"Nam từ 35 - 45",IF(AND(DH24&gt;29,DH24&lt;41,F24="Nữ"),"Nữ từ 30 - 40",IF(AND(DH24&gt;45,DH24&lt;56,F24="Nam"),"Nam trên 45 - 55",IF(AND(DH24&gt;40,DH24&lt;51,F24="Nữ"),"Nữ trên 40 - 50",IF(AND(DH24&gt;55,F24="Nam"),"Nam trên 55","Nữ trên 50")))))))</f>
        <v>Nữ dưới 30</v>
      </c>
      <c r="DJ24" s="1425"/>
      <c r="DK24" s="1427"/>
      <c r="DL24" s="1414" t="str">
        <f>IF(DH24&lt;31,"Đến 30",IF(AND(DH24&gt;30,DH24&lt;46),"31 - 45",IF(AND(DH24&gt;45,DH24&lt;70),"Trên 45")))</f>
        <v>Đến 30</v>
      </c>
      <c r="DM24" s="1399" t="str">
        <f>IF(DN24&gt;0,"TD","--")</f>
        <v>--</v>
      </c>
      <c r="DN24" s="1399"/>
      <c r="DO24" s="1399"/>
      <c r="DP24" s="1399"/>
      <c r="DQ24" s="1414"/>
      <c r="DR24" s="1414"/>
      <c r="DS24" s="1438"/>
      <c r="DT24" s="1439"/>
      <c r="DU24" s="1415"/>
      <c r="DV24" s="1438"/>
      <c r="DW24" s="1410" t="s">
        <v>153</v>
      </c>
      <c r="DX24" s="1440" t="s">
        <v>416</v>
      </c>
      <c r="DY24" s="1440" t="s">
        <v>368</v>
      </c>
      <c r="DZ24" s="1440" t="s">
        <v>342</v>
      </c>
      <c r="EA24" s="1441" t="s">
        <v>360</v>
      </c>
      <c r="EB24" s="1440" t="s">
        <v>372</v>
      </c>
      <c r="EC24" s="1399" t="s">
        <v>360</v>
      </c>
      <c r="ED24" s="1410">
        <v>2013</v>
      </c>
      <c r="EE24" s="1440">
        <f>(DZ24+0)-(EG24+0)</f>
        <v>0</v>
      </c>
      <c r="EF24" s="1440" t="str">
        <f>IF(EE24&gt;0,"Sửa","- - -")</f>
        <v>- - -</v>
      </c>
      <c r="EG24" s="1440" t="s">
        <v>342</v>
      </c>
      <c r="EH24" s="1441" t="s">
        <v>360</v>
      </c>
      <c r="EI24" s="1399" t="s">
        <v>372</v>
      </c>
      <c r="EJ24" s="1414" t="s">
        <v>360</v>
      </c>
      <c r="EK24" s="1436">
        <v>2013</v>
      </c>
      <c r="EL24" s="1415"/>
      <c r="EM24" s="1434" t="str">
        <f>IF(AND(BE24&gt;0.34,AO24=1,OR(BD24=6.2,BD24=5.75)),((BD24-EL24)-2*0.34),IF(AND(BE24&gt;0.33,AO24=1,OR(BD24=4.4,BD24=4)),((BD24-EL24)-2*0.33),"- - -"))</f>
        <v>- - -</v>
      </c>
      <c r="EN24" s="1434" t="str">
        <f>IF(CV24="Hưu",12*(DB24-AX24)+(DA24-AV24),"---")</f>
        <v>---</v>
      </c>
    </row>
    <row r="25" spans="1:144" s="1434" customFormat="1" ht="40.5" customHeight="1" x14ac:dyDescent="0.2">
      <c r="A25" s="1399">
        <v>126</v>
      </c>
      <c r="B25" s="1400">
        <v>10</v>
      </c>
      <c r="C25" s="1399"/>
      <c r="D25" s="1399" t="str">
        <f>IF(F25="Nam","Ông","Bà")</f>
        <v>Ông</v>
      </c>
      <c r="E25" s="1401" t="s">
        <v>31</v>
      </c>
      <c r="F25" s="1402" t="s">
        <v>379</v>
      </c>
      <c r="G25" s="1403" t="s">
        <v>343</v>
      </c>
      <c r="H25" s="1403" t="s">
        <v>360</v>
      </c>
      <c r="I25" s="1403" t="s">
        <v>346</v>
      </c>
      <c r="J25" s="720" t="s">
        <v>360</v>
      </c>
      <c r="K25" s="720" t="s">
        <v>22</v>
      </c>
      <c r="L25" s="720" t="s">
        <v>452</v>
      </c>
      <c r="M25" s="720" t="str">
        <f>IF(L25="công chức","CC",IF(L25="viên chức","VC",IF(L25="người lao động","NLĐ","- - -")))</f>
        <v>VC</v>
      </c>
      <c r="N25" s="720"/>
      <c r="O25" s="720" t="str">
        <f>IF(AND((Q25+0)&gt;0.3,(Q25+0)&lt;1.5),"CVụ","- -")</f>
        <v>CVụ</v>
      </c>
      <c r="P25" s="720" t="s">
        <v>243</v>
      </c>
      <c r="Q25" s="1401">
        <f>VLOOKUP(P25,'Du lieu lien quan'!$C$2:$H$115,2,0)</f>
        <v>1</v>
      </c>
      <c r="R25" s="1404"/>
      <c r="S25" s="722" t="s">
        <v>555</v>
      </c>
      <c r="T25" s="1405" t="str">
        <f>VLOOKUP(Y25,'Du lieu lien quan'!$C$2:$H$60,5,0)</f>
        <v>A3</v>
      </c>
      <c r="U25" s="1405" t="str">
        <f>VLOOKUP(Y25,'Du lieu lien quan'!$C$2:$H$60,6,0)</f>
        <v>A3.1</v>
      </c>
      <c r="V25" s="1405" t="s">
        <v>424</v>
      </c>
      <c r="W25" s="1406" t="str">
        <f>IF(OR(Y25="Kỹ thuật viên đánh máy",Y25="Nhân viên đánh máy",Y25="Nhân viên kỹ thuật",Y25="Nhân viên văn thư",Y25="Nhân viên phục vụ",Y25="Lái xe cơ quan",Y25="Nhân viên bảo vệ"),"Nhân viên",Y25)</f>
        <v>Giảng viên cao cấp (hạng I)</v>
      </c>
      <c r="X25" s="761" t="str">
        <f>IF(W25="Nhân viên","01.005",Z25)</f>
        <v>V.07.01.01</v>
      </c>
      <c r="Y25" s="722" t="s">
        <v>429</v>
      </c>
      <c r="Z25" s="761" t="str">
        <f>VLOOKUP(Y25,'Du lieu lien quan'!$C$1:$H$133,2,0)</f>
        <v>V.07.01.01</v>
      </c>
      <c r="AA25" s="761" t="str">
        <f>IF(OR(AND(BC25=36,BB25=3),AND(BC25=24,BB25=2),AND(BC25=12,BB25=1)),"Đến $",IF(OR(AND(BC25&gt;36,BB25=3),AND(BC25&gt;24,BB25=2),AND(BC25&gt;12,BB25=1)),"Dừng $","Lương"))</f>
        <v>Lương</v>
      </c>
      <c r="AB25" s="1407">
        <v>6</v>
      </c>
      <c r="AC25" s="756" t="str">
        <f>IF(AD25&gt;0,"/")</f>
        <v>/</v>
      </c>
      <c r="AD25" s="756">
        <f>IF(OR(BE25=0.18,BE25=0.2),12,IF(BE25=0.31,10,IF(BE25=0.33,9,IF(BE25=0.34,8,IF(BE25=0.36,6)))))</f>
        <v>6</v>
      </c>
      <c r="AE25" s="1408">
        <f>BD25+(AB25-1)*BE25</f>
        <v>8</v>
      </c>
      <c r="AF25" s="1409">
        <v>8</v>
      </c>
      <c r="AG25" s="722" t="str">
        <f>IF(AD25=AB25,"%",IF(AD25&gt;AB25,"/"))</f>
        <v>%</v>
      </c>
      <c r="AH25" s="1410" t="s">
        <v>342</v>
      </c>
      <c r="AI25" s="727" t="s">
        <v>360</v>
      </c>
      <c r="AJ25" s="1442" t="s">
        <v>372</v>
      </c>
      <c r="AK25" s="1412" t="s">
        <v>360</v>
      </c>
      <c r="AL25" s="1413">
        <v>2021</v>
      </c>
      <c r="AM25" s="1414"/>
      <c r="AN25" s="1415"/>
      <c r="AO25" s="1416"/>
      <c r="AP25" s="1417"/>
      <c r="AQ25" s="1418"/>
      <c r="AR25" s="2281">
        <f>IF(AND(AD25=AB25,AF25=0),5,IF(AND(AD25=AB25,AF25&gt;4),AF25+1,IF(AD25&gt;AB25,AD25)))</f>
        <v>9</v>
      </c>
      <c r="AS25" s="722" t="str">
        <f>IF(AD25=AB25,"%",IF(AD25&gt;AB25,AE25+BE25))</f>
        <v>%</v>
      </c>
      <c r="AT25" s="1420" t="s">
        <v>342</v>
      </c>
      <c r="AU25" s="1421" t="s">
        <v>360</v>
      </c>
      <c r="AV25" s="1411" t="s">
        <v>372</v>
      </c>
      <c r="AW25" s="1418" t="s">
        <v>360</v>
      </c>
      <c r="AX25" s="1422">
        <v>2022</v>
      </c>
      <c r="AY25" s="1423"/>
      <c r="AZ25" s="1414"/>
      <c r="BA25" s="1424">
        <v>10</v>
      </c>
      <c r="BB25" s="1425">
        <f>IF(AND(AD25&gt;AB25,OR(BE25=0.18,BE25=0.2)),2,IF(AND(AD25&gt;AB25,OR(BE25=0.31,BE25=0.33,BE25=0.34,BE25=0.36)),3,IF(AD25=AB25,1)))</f>
        <v>1</v>
      </c>
      <c r="BC25" s="1426">
        <f>12*($AA$2-AX25)+($AA$3-AV25)-AM25</f>
        <v>-24274</v>
      </c>
      <c r="BD25" s="1426">
        <f>VLOOKUP(Y25,'Du lieu lien quan'!$C$1:$F$60,3,0)</f>
        <v>6.2</v>
      </c>
      <c r="BE25" s="1427">
        <f>VLOOKUP(Y25,'Du lieu lien quan'!$C$1:$F$60,4,0)</f>
        <v>0.36</v>
      </c>
      <c r="BF25" s="1428" t="str">
        <f>IF(AND(BG25&gt;3,BY25=12),"Đến %",IF(AND(BG25&gt;3,BY25&gt;12,BY25&lt;120),"Dừng %",IF(AND(BG25&gt;3,BY25&lt;12),"PCTN","o-o-o")))</f>
        <v>PCTN</v>
      </c>
      <c r="BG25" s="1429">
        <v>35</v>
      </c>
      <c r="BH25" s="1430" t="s">
        <v>333</v>
      </c>
      <c r="BI25" s="1431" t="s">
        <v>342</v>
      </c>
      <c r="BJ25" s="1432" t="s">
        <v>360</v>
      </c>
      <c r="BK25" s="1431" t="s">
        <v>345</v>
      </c>
      <c r="BL25" s="1415" t="s">
        <v>360</v>
      </c>
      <c r="BM25" s="1396">
        <v>2021</v>
      </c>
      <c r="BN25" s="1397"/>
      <c r="BO25" s="1428"/>
      <c r="BP25" s="1429">
        <f>IF(BG25&gt;3,BG25+1,0)</f>
        <v>36</v>
      </c>
      <c r="BQ25" s="1430" t="s">
        <v>333</v>
      </c>
      <c r="BR25" s="1431" t="s">
        <v>342</v>
      </c>
      <c r="BS25" s="1432" t="s">
        <v>360</v>
      </c>
      <c r="BT25" s="1431" t="s">
        <v>345</v>
      </c>
      <c r="BU25" s="1415" t="s">
        <v>360</v>
      </c>
      <c r="BV25" s="729">
        <v>2022</v>
      </c>
      <c r="BW25" s="1414"/>
      <c r="BX25" s="1427">
        <v>6</v>
      </c>
      <c r="BY25" s="1427">
        <f>IF(BG25&gt;3,(($BF$2-BV25)*12+($BF$3-BT25)-BN25),"- - -")</f>
        <v>-24270</v>
      </c>
      <c r="BZ25" s="1415" t="str">
        <f>IF(AND(CV25="Hưu",BG25&gt;3),12-(12*(DB25-BV25)+(DA25-BT25))-BN25,"- - -")</f>
        <v>- - -</v>
      </c>
      <c r="CA25" s="1433" t="str">
        <f>IF(OR(S25="Ban Tổ chức - Cán bộ",S25="Văn phòng Học viện",S25="Phó Giám đốc Thường trực Học viện",S25="Phó Giám đốc Học viện"),"Chánh Văn phòng Học viện, Trưởng Ban Tổ chức - Cán bộ",IF(OR(S25="Trung tâm Ngoại ngữ",S25="Trung tâm Tin học hành chính và Công nghệ thông tin",S25="Trung tâm Tin học - Thư viện",S25="Phân viện khu vực Tây Nguyên"),"Chánh Văn phòng Học viện, Trưởng Ban Tổ chức - Cán bộ, "&amp;CONCATENATE("Giám đốc ",S25),IF(S25="Tạp chí Quản lý nhà nước","Chánh Văn phòng Học viện, Trưởng Ban Tổ chức - Cán bộ, "&amp;CONCATENATE("Tổng Biên tập ",S25),IF(S25="Văn phòng Đảng uỷ Học viện","Chánh Văn phòng Học viện, Trưởng Ban Tổ chức - Cán bộ, "&amp;CONCATENATE("Chánh",S25),IF(S25="Viện Nghiên cứu Khoa học hành chính","Chánh Văn phòng Học viện, Trưởng Ban Tổ chức - Cán bộ, "&amp;CONCATENATE("Viện Trưởng ",S25),IF(OR(S25="Cơ sở Học viện Hành chính Quốc gia khu vực miền Trung",S25="Cơ sở Học viện Hành chính Quốc gia tại Thành phố Hồ Chí Minh"),"Chánh Văn phòng Học viện, Trưởng Ban Tổ chức - Cán bộ, "&amp;CONCATENATE("Thủ trưởng ",S25),"Chánh Văn phòng Học viện, Trưởng Ban Tổ chức - Cán bộ, "&amp;CONCATENATE("Trưởng ",S25)))))))</f>
        <v>Chánh Văn phòng Học viện, Trưởng Ban Tổ chức - Cán bộ, Trưởng Khoa Khoa học hành chính và Tổ chức nhân sự</v>
      </c>
      <c r="CB25" s="1425" t="str">
        <f>IF(S25="Cơ sở Học viện Hành chính khu vực miền Trung","B",IF(S25="Phân viện Khu vực Tây Nguyên","C",IF(S25="Cơ sở Học viện Hành chính tại thành phố Hồ Chí Minh","D","A")))</f>
        <v>A</v>
      </c>
      <c r="CC25" s="1425" t="str">
        <f>IF(AND(AO25&gt;0,AB25&lt;(AD25-1),CD25&gt;0,CD25&lt;13,OR(AND(CJ25="Cùg Ng",($CC$2-CF25)&gt;BB25),CJ25="- - -")),"Sớm TT","=&gt; s")</f>
        <v>=&gt; s</v>
      </c>
      <c r="CD25" s="1399" t="str">
        <f>IF(BB25=3,36-(12*($CC$2-AX25)+(12-AV25)-AM25),IF(BB25=2,24-(12*($CC$2-AX25)+(12-AV25)-AM25),"---"))</f>
        <v>---</v>
      </c>
      <c r="CE25" s="1399" t="str">
        <f>IF(CF25&gt;1,"S","---")</f>
        <v>S</v>
      </c>
      <c r="CF25" s="1434">
        <v>2012</v>
      </c>
      <c r="CG25" s="1399" t="s">
        <v>427</v>
      </c>
      <c r="CH25" s="1434">
        <v>2007</v>
      </c>
      <c r="CI25" s="1399"/>
      <c r="CJ25" s="1414" t="str">
        <f>IF(X25=CG25,"Cùg Ng","- - -")</f>
        <v>Cùg Ng</v>
      </c>
      <c r="CK25" s="1414" t="str">
        <f>IF(CM25&gt;2000,"NN","- - -")</f>
        <v>NN</v>
      </c>
      <c r="CL25" s="1399">
        <v>1</v>
      </c>
      <c r="CM25" s="1414">
        <v>2009</v>
      </c>
      <c r="CN25" s="1414"/>
      <c r="CO25" s="1414"/>
      <c r="CP25" s="1414" t="str">
        <f>IF(CR25&gt;2000,"CN","- - -")</f>
        <v>- - -</v>
      </c>
      <c r="CQ25" s="1399"/>
      <c r="CR25" s="1414"/>
      <c r="CS25" s="1414"/>
      <c r="CT25" s="1435"/>
      <c r="CU25" s="1398" t="str">
        <f>IF(AND(CV25="Hưu",AB25&lt;(AD25-1),DC25&gt;0,DC25&lt;18,OR(BG25&lt;4,AND(BG25&gt;3,OR(BZ25&lt;3,BZ25&gt;5)))),"Lg Sớm",IF(AND(CV25="Hưu",AB25&gt;(AD25-2),OR(BE25=0.33,BE25=0.34),OR(BG25&lt;4,AND(BG25&gt;3,OR(BZ25&lt;3,BZ25&gt;5)))),"Nâng Ngạch",IF(AND(CV25="Hưu",BB25=1,DC25&gt;2,DC25&lt;6,OR(BG25&lt;4,AND(BG25&gt;3,OR(BZ25&lt;3,BZ25&gt;5)))),"Nâng PcVK cùng QĐ",IF(AND(CV25="Hưu",BG25&gt;3,BZ25&gt;2,BZ25&lt;6,AB25&lt;(AD25-1),DC25&gt;17,OR(BB25&gt;1,AND(BB25=1,OR(DC25&lt;3,DC25&gt;5)))),"Nâng PcNG cùng QĐ",IF(AND(CV25="Hưu",AB25&lt;(AD25-1),DC25&gt;0,DC25&lt;18,BG25&gt;3,BZ25&gt;2,BZ25&lt;6),"Nâng Lg Sớm +(PcNG cùng QĐ)",IF(AND(CV25="Hưu",AB25&gt;(AD25-2),OR(BE25=0.33,BE25=0.34),BG25&gt;3,BZ25&gt;2,BZ25&lt;6),"Nâng Ngạch +(PcNG cùng QĐ)",IF(AND(CV25="Hưu",BB25=1,DC25&gt;2,DC25&lt;6,BG25&gt;3,BZ25&gt;2,BZ25&lt;6),"Nâng (PcVK +PcNG) cùng QĐ",("---"))))))))</f>
        <v>---</v>
      </c>
      <c r="CV25" s="1434" t="str">
        <f>IF(AND(DG25&gt;DF25,DG25&lt;(DF25+13)),"Hưu",IF(AND(DG25&gt;(DF25+12),DG25&lt;1000),"Quá","/-/ /-/"))</f>
        <v>/-/ /-/</v>
      </c>
      <c r="CW25" s="1434">
        <f>IF((I25+0)&lt;12,(I25+0)+1,IF((I25+0)=12,1,IF((I25+0)&gt;12,(I25+0)-12)))</f>
        <v>9</v>
      </c>
      <c r="CX25" s="1434">
        <f>IF(OR((I25+0)=12,(I25+0)&gt;12),K25+DF25/12+1,IF(AND((I25+0)&gt;0,(I25+0)&lt;12),K25+DF25/12,"---"))</f>
        <v>2023</v>
      </c>
      <c r="CY25" s="1434">
        <f>IF(AND(CW25&gt;3,CW25&lt;13),CW25-3,IF(CW25&lt;4,CW25-3+12))</f>
        <v>6</v>
      </c>
      <c r="CZ25" s="1434">
        <f>IF(CY25&lt;CW25,CX25,IF(CY25&gt;CW25,CX25-1))</f>
        <v>2023</v>
      </c>
      <c r="DA25" s="1434">
        <f>IF(CW25&gt;6,CW25-6,IF(CW25=6,12,IF(CW25&lt;6,CW25+6)))</f>
        <v>3</v>
      </c>
      <c r="DB25" s="1436">
        <f>IF(CW25&gt;6,CX25,IF(CW25&lt;7,CX25-1))</f>
        <v>2023</v>
      </c>
      <c r="DC25" s="1437" t="str">
        <f>IF(AND(CV25="Hưu",BB25=3),36+AM25-(12*(DB25-AX25)+(DA25-AV25)),IF(AND(CV25="Hưu",BB25=2),24+AM25-(12*(DB25-AX25)+(DA25-AV25)),IF(AND(CV25="Hưu",BB25=1),12+AM25-(12*(DB25-AX25)+(DA25-AV25)),"- - -")))</f>
        <v>- - -</v>
      </c>
      <c r="DD25" s="1437" t="str">
        <f>IF(DE25&gt;0,"K.Dài",". .")</f>
        <v>K.Dài</v>
      </c>
      <c r="DE25" s="1425">
        <v>7</v>
      </c>
      <c r="DF25" s="1425">
        <f>IF(F25="Nam",(60+DE25)*12,IF(F25="Nữ",(55+DE25)*12,))</f>
        <v>804</v>
      </c>
      <c r="DG25" s="1425">
        <f>12*($CV$4-K25)+(12-I25)</f>
        <v>-23468</v>
      </c>
      <c r="DH25" s="1425">
        <f>$DL$4-K25</f>
        <v>-1956</v>
      </c>
      <c r="DI25" s="1425" t="str">
        <f>IF(AND(DH25&lt;35,F25="Nam"),"Nam dưới 35",IF(AND(DH25&lt;30,F25="Nữ"),"Nữ dưới 30",IF(AND(DH25&gt;34,DH25&lt;46,F25="Nam"),"Nam từ 35 - 45",IF(AND(DH25&gt;29,DH25&lt;41,F25="Nữ"),"Nữ từ 30 - 40",IF(AND(DH25&gt;45,DH25&lt;56,F25="Nam"),"Nam trên 45 - 55",IF(AND(DH25&gt;40,DH25&lt;51,F25="Nữ"),"Nữ trên 40 - 50",IF(AND(DH25&gt;55,F25="Nam"),"Nam trên 55","Nữ trên 50")))))))</f>
        <v>Nam dưới 35</v>
      </c>
      <c r="DJ25" s="1425"/>
      <c r="DK25" s="1427"/>
      <c r="DL25" s="1414" t="str">
        <f>IF(DH25&lt;31,"Đến 30",IF(AND(DH25&gt;30,DH25&lt;46),"31 - 45",IF(AND(DH25&gt;45,DH25&lt;70),"Trên 45")))</f>
        <v>Đến 30</v>
      </c>
      <c r="DM25" s="1399" t="str">
        <f>IF(DN25&gt;0,"TD","--")</f>
        <v>--</v>
      </c>
      <c r="DN25" s="1399"/>
      <c r="DO25" s="1399"/>
      <c r="DP25" s="1399"/>
      <c r="DQ25" s="1414"/>
      <c r="DR25" s="1414" t="s">
        <v>310</v>
      </c>
      <c r="DS25" s="1438"/>
      <c r="DT25" s="1439"/>
      <c r="DU25" s="1415"/>
      <c r="DV25" s="1438"/>
      <c r="DW25" s="1410"/>
      <c r="DX25" s="1440" t="s">
        <v>120</v>
      </c>
      <c r="DY25" s="1440"/>
      <c r="DZ25" s="1440" t="s">
        <v>342</v>
      </c>
      <c r="EA25" s="1441" t="s">
        <v>360</v>
      </c>
      <c r="EB25" s="1440" t="s">
        <v>372</v>
      </c>
      <c r="EC25" s="1399" t="s">
        <v>360</v>
      </c>
      <c r="ED25" s="1410">
        <v>2012</v>
      </c>
      <c r="EE25" s="1440">
        <f>(DZ25+0)-(EG25+0)</f>
        <v>0</v>
      </c>
      <c r="EF25" s="1440" t="str">
        <f>IF(EE25&gt;0,"Sửa","- - -")</f>
        <v>- - -</v>
      </c>
      <c r="EG25" s="1440" t="s">
        <v>342</v>
      </c>
      <c r="EH25" s="1441" t="s">
        <v>360</v>
      </c>
      <c r="EI25" s="1399" t="s">
        <v>372</v>
      </c>
      <c r="EJ25" s="1414" t="s">
        <v>360</v>
      </c>
      <c r="EK25" s="1436">
        <v>2012</v>
      </c>
      <c r="EL25" s="1415">
        <v>6.78</v>
      </c>
      <c r="EM25" s="1434" t="str">
        <f>IF(AND(BE25&gt;0.34,AO25=1,OR(BD25=6.2,BD25=5.75)),((BD25-EL25)-2*0.34),IF(AND(BE25&gt;0.33,AO25=1,OR(BD25=4.4,BD25=4)),((BD25-EL25)-2*0.33),"- - -"))</f>
        <v>- - -</v>
      </c>
      <c r="EN25" s="1434" t="str">
        <f>IF(CV25="Hưu",12*(DB25-AX25)+(DA25-AV25),"---")</f>
        <v>---</v>
      </c>
    </row>
    <row r="26" spans="1:144" s="1434" customFormat="1" ht="40.5" customHeight="1" x14ac:dyDescent="0.2">
      <c r="A26" s="1399">
        <v>573</v>
      </c>
      <c r="B26" s="1400">
        <v>11</v>
      </c>
      <c r="C26" s="1399"/>
      <c r="D26" s="1399" t="str">
        <f>IF(F26="Nam","Ông","Bà")</f>
        <v>Ông</v>
      </c>
      <c r="E26" s="1401" t="s">
        <v>671</v>
      </c>
      <c r="F26" s="1402" t="s">
        <v>379</v>
      </c>
      <c r="G26" s="1403" t="s">
        <v>372</v>
      </c>
      <c r="H26" s="1403" t="s">
        <v>360</v>
      </c>
      <c r="I26" s="1403" t="s">
        <v>343</v>
      </c>
      <c r="J26" s="720" t="s">
        <v>360</v>
      </c>
      <c r="K26" s="720" t="s">
        <v>331</v>
      </c>
      <c r="L26" s="720" t="s">
        <v>452</v>
      </c>
      <c r="M26" s="720" t="str">
        <f>IF(L26="công chức","CC",IF(L26="viên chức","VC",IF(L26="người lao động","NLĐ","- - -")))</f>
        <v>VC</v>
      </c>
      <c r="N26" s="720"/>
      <c r="O26" s="720" t="str">
        <f>IF(AND((Q26+0)&gt;0.3,(Q26+0)&lt;1.5),"CVụ","- -")</f>
        <v>CVụ</v>
      </c>
      <c r="P26" s="720" t="s">
        <v>567</v>
      </c>
      <c r="Q26" s="1401">
        <f>VLOOKUP(P26,'Du lieu lien quan'!$C$2:$H$115,2,0)</f>
        <v>0.8</v>
      </c>
      <c r="R26" s="1404"/>
      <c r="S26" s="722" t="s">
        <v>560</v>
      </c>
      <c r="T26" s="1405" t="str">
        <f>VLOOKUP(Y26,'Du lieu lien quan'!$C$2:$H$60,5,0)</f>
        <v>A3</v>
      </c>
      <c r="U26" s="1405" t="str">
        <f>VLOOKUP(Y26,'Du lieu lien quan'!$C$2:$H$60,6,0)</f>
        <v>A3.1</v>
      </c>
      <c r="V26" s="1405" t="s">
        <v>425</v>
      </c>
      <c r="W26" s="1406" t="str">
        <f>IF(OR(Y26="Kỹ thuật viên đánh máy",Y26="Nhân viên đánh máy",Y26="Nhân viên kỹ thuật",Y26="Nhân viên văn thư",Y26="Nhân viên phục vụ",Y26="Lái xe cơ quan",Y26="Nhân viên bảo vệ"),"Nhân viên",Y26)</f>
        <v>Giảng viên cao cấp (hạng I)</v>
      </c>
      <c r="X26" s="761" t="str">
        <f>IF(W26="Nhân viên","01.005",Z26)</f>
        <v>V.07.01.01</v>
      </c>
      <c r="Y26" s="722" t="s">
        <v>429</v>
      </c>
      <c r="Z26" s="761" t="str">
        <f>VLOOKUP(Y26,'Du lieu lien quan'!$C$1:$H$133,2,0)</f>
        <v>V.07.01.01</v>
      </c>
      <c r="AA26" s="761" t="str">
        <f>IF(OR(AND(BC26=36,BB26=3),AND(BC26=24,BB26=2),AND(BC26=12,BB26=1)),"Đến $",IF(OR(AND(BC26&gt;36,BB26=3),AND(BC26&gt;24,BB26=2),AND(BC26&gt;12,BB26=1)),"Dừng $","Lương"))</f>
        <v>Lương</v>
      </c>
      <c r="AB26" s="1407">
        <v>6</v>
      </c>
      <c r="AC26" s="756" t="str">
        <f>IF(AD26&gt;0,"/")</f>
        <v>/</v>
      </c>
      <c r="AD26" s="756">
        <f>IF(OR(BE26=0.18,BE26=0.2),12,IF(BE26=0.31,10,IF(BE26=0.33,9,IF(BE26=0.34,8,IF(BE26=0.36,6)))))</f>
        <v>6</v>
      </c>
      <c r="AE26" s="1408">
        <f>BD26+(AB26-1)*BE26</f>
        <v>8</v>
      </c>
      <c r="AF26" s="1409">
        <v>6</v>
      </c>
      <c r="AG26" s="722" t="str">
        <f>IF(AD26=AB26,"%",IF(AD26&gt;AB26,"/"))</f>
        <v>%</v>
      </c>
      <c r="AH26" s="1410" t="s">
        <v>342</v>
      </c>
      <c r="AI26" s="727" t="s">
        <v>360</v>
      </c>
      <c r="AJ26" s="1442" t="s">
        <v>372</v>
      </c>
      <c r="AK26" s="1412" t="s">
        <v>360</v>
      </c>
      <c r="AL26" s="1413">
        <v>2021</v>
      </c>
      <c r="AM26" s="1414"/>
      <c r="AN26" s="1415"/>
      <c r="AO26" s="1416"/>
      <c r="AP26" s="1417"/>
      <c r="AQ26" s="1418"/>
      <c r="AR26" s="2281">
        <f>IF(AND(AD26=AB26,AF26=0),5,IF(AND(AD26=AB26,AF26&gt;4),AF26+1,IF(AD26&gt;AB26,AD26)))</f>
        <v>7</v>
      </c>
      <c r="AS26" s="722" t="str">
        <f>IF(AD26=AB26,"%",IF(AD26&gt;AB26,AE26+BE26))</f>
        <v>%</v>
      </c>
      <c r="AT26" s="1420" t="s">
        <v>342</v>
      </c>
      <c r="AU26" s="1421" t="s">
        <v>360</v>
      </c>
      <c r="AV26" s="1411" t="s">
        <v>372</v>
      </c>
      <c r="AW26" s="1418" t="s">
        <v>360</v>
      </c>
      <c r="AX26" s="1422">
        <v>2022</v>
      </c>
      <c r="AY26" s="1423"/>
      <c r="AZ26" s="1414"/>
      <c r="BA26" s="1424"/>
      <c r="BB26" s="1425">
        <f>IF(AND(AD26&gt;AB26,OR(BE26=0.18,BE26=0.2)),2,IF(AND(AD26&gt;AB26,OR(BE26=0.31,BE26=0.33,BE26=0.34,BE26=0.36)),3,IF(AD26=AB26,1)))</f>
        <v>1</v>
      </c>
      <c r="BC26" s="1426">
        <f>12*($AA$2-AX26)+($AA$3-AV26)-AM26</f>
        <v>-24274</v>
      </c>
      <c r="BD26" s="1426">
        <f>VLOOKUP(Y26,'Du lieu lien quan'!$C$1:$F$60,3,0)</f>
        <v>6.2</v>
      </c>
      <c r="BE26" s="1427">
        <f>VLOOKUP(Y26,'Du lieu lien quan'!$C$1:$F$60,4,0)</f>
        <v>0.36</v>
      </c>
      <c r="BF26" s="1428" t="str">
        <f>IF(AND(BG26&gt;3,BY26=12),"Đến %",IF(AND(BG26&gt;3,BY26&gt;12,BY26&lt;120),"Dừng %",IF(AND(BG26&gt;3,BY26&lt;12),"PCTN","o-o-o")))</f>
        <v>PCTN</v>
      </c>
      <c r="BG26" s="1429">
        <v>6</v>
      </c>
      <c r="BH26" s="1430" t="s">
        <v>333</v>
      </c>
      <c r="BI26" s="1431" t="s">
        <v>342</v>
      </c>
      <c r="BJ26" s="1432" t="s">
        <v>360</v>
      </c>
      <c r="BK26" s="1431" t="s">
        <v>345</v>
      </c>
      <c r="BL26" s="1415" t="s">
        <v>360</v>
      </c>
      <c r="BM26" s="1396">
        <v>2021</v>
      </c>
      <c r="BN26" s="1397"/>
      <c r="BO26" s="1428"/>
      <c r="BP26" s="1429">
        <f>IF(BG26&gt;3,BG26+1,0)</f>
        <v>7</v>
      </c>
      <c r="BQ26" s="1430" t="s">
        <v>333</v>
      </c>
      <c r="BR26" s="1431" t="s">
        <v>342</v>
      </c>
      <c r="BS26" s="1432" t="s">
        <v>360</v>
      </c>
      <c r="BT26" s="1431" t="s">
        <v>345</v>
      </c>
      <c r="BU26" s="1415" t="s">
        <v>360</v>
      </c>
      <c r="BV26" s="729">
        <v>2022</v>
      </c>
      <c r="BW26" s="1414" t="s">
        <v>661</v>
      </c>
      <c r="BX26" s="1427"/>
      <c r="BY26" s="1427">
        <f>IF(BG26&gt;3,(($BF$2-BV26)*12+($BF$3-BT26)-BN26),"- - -")</f>
        <v>-24270</v>
      </c>
      <c r="BZ26" s="1415" t="str">
        <f>IF(AND(CV26="Hưu",BG26&gt;3),12-(12*(DB26-BV26)+(DA26-BT26))-BN26,"- - -")</f>
        <v>- - -</v>
      </c>
      <c r="CA26" s="1433" t="str">
        <f>IF(OR(S26="Ban Tổ chức - Cán bộ",S26="Văn phòng Học viện",S26="Phó Giám đốc Thường trực Học viện",S26="Phó Giám đốc Học viện"),"Chánh Văn phòng Học viện, Trưởng Ban Tổ chức - Cán bộ",IF(OR(S26="Trung tâm Ngoại ngữ",S26="Trung tâm Tin học hành chính và Công nghệ thông tin",S26="Trung tâm Tin học - Thư viện",S26="Phân viện khu vực Tây Nguyên"),"Chánh Văn phòng Học viện, Trưởng Ban Tổ chức - Cán bộ, "&amp;CONCATENATE("Giám đốc ",S26),IF(S26="Tạp chí Quản lý nhà nước","Chánh Văn phòng Học viện, Trưởng Ban Tổ chức - Cán bộ, "&amp;CONCATENATE("Tổng Biên tập ",S26),IF(S26="Văn phòng Đảng uỷ Học viện","Chánh Văn phòng Học viện, Trưởng Ban Tổ chức - Cán bộ, "&amp;CONCATENATE("Chánh",S26),IF(S26="Viện Nghiên cứu Khoa học hành chính","Chánh Văn phòng Học viện, Trưởng Ban Tổ chức - Cán bộ, "&amp;CONCATENATE("Viện Trưởng ",S26),IF(OR(S26="Cơ sở Học viện Hành chính Quốc gia khu vực miền Trung",S26="Cơ sở Học viện Hành chính Quốc gia tại Thành phố Hồ Chí Minh"),"Chánh Văn phòng Học viện, Trưởng Ban Tổ chức - Cán bộ, "&amp;CONCATENATE("Thủ trưởng ",S26),"Chánh Văn phòng Học viện, Trưởng Ban Tổ chức - Cán bộ, "&amp;CONCATENATE("Trưởng ",S26)))))))</f>
        <v>Chánh Văn phòng Học viện, Trưởng Ban Tổ chức - Cán bộ, Trưởng Phân viện Học viện Hành chính Quốc gia tại thành phố Huế</v>
      </c>
      <c r="CB26" s="1425" t="str">
        <f>IF(S26="Cơ sở Học viện Hành chính khu vực miền Trung","B",IF(S26="Phân viện Khu vực Tây Nguyên","C",IF(S26="Cơ sở Học viện Hành chính tại thành phố Hồ Chí Minh","D","A")))</f>
        <v>A</v>
      </c>
      <c r="CC26" s="1425" t="str">
        <f>IF(AND(AO26&gt;0,AB26&lt;(AD26-1),CD26&gt;0,CD26&lt;13,OR(AND(CJ26="Cùg Ng",($CC$2-CF26)&gt;BB26),CJ26="- - -")),"Sớm TT","=&gt; s")</f>
        <v>=&gt; s</v>
      </c>
      <c r="CD26" s="1399" t="str">
        <f>IF(BB26=3,36-(12*($CC$2-AX26)+(12-AV26)-AM26),IF(BB26=2,24-(12*($CC$2-AX26)+(12-AV26)-AM26),"---"))</f>
        <v>---</v>
      </c>
      <c r="CE26" s="1399" t="str">
        <f>IF(CF26&gt;1,"S","---")</f>
        <v>S</v>
      </c>
      <c r="CF26" s="1434">
        <v>2017</v>
      </c>
      <c r="CG26" s="1399"/>
      <c r="CI26" s="1399"/>
      <c r="CJ26" s="1414" t="str">
        <f>IF(X26=CG26,"Cùg Ng","- - -")</f>
        <v>- - -</v>
      </c>
      <c r="CK26" s="1414" t="str">
        <f>IF(CM26&gt;2000,"NN","- - -")</f>
        <v>- - -</v>
      </c>
      <c r="CL26" s="1399"/>
      <c r="CM26" s="1414"/>
      <c r="CN26" s="1414"/>
      <c r="CO26" s="1414"/>
      <c r="CP26" s="1414" t="str">
        <f>IF(CR26&gt;2000,"CN","- - -")</f>
        <v>- - -</v>
      </c>
      <c r="CQ26" s="1399"/>
      <c r="CR26" s="1414"/>
      <c r="CS26" s="1414"/>
      <c r="CT26" s="1435"/>
      <c r="CU26" s="1398" t="str">
        <f>IF(AND(CV26="Hưu",AB26&lt;(AD26-1),DC26&gt;0,DC26&lt;18,OR(BG26&lt;4,AND(BG26&gt;3,OR(BZ26&lt;3,BZ26&gt;5)))),"Lg Sớm",IF(AND(CV26="Hưu",AB26&gt;(AD26-2),OR(BE26=0.33,BE26=0.34),OR(BG26&lt;4,AND(BG26&gt;3,OR(BZ26&lt;3,BZ26&gt;5)))),"Nâng Ngạch??",IF(AND(CV26="Hưu",BB26=1,DC26&gt;2,DC26&lt;6,OR(BG26&lt;4,AND(BG26&gt;3,OR(BZ26&lt;3,BZ26&gt;5)))),"Nâng PcVK cùng QĐ",IF(AND(CV26="Hưu",BG26&gt;3,BZ26&gt;2,BZ26&lt;6,AB26&lt;(AD26-1),DC26&gt;17,OR(BB26&gt;1,AND(BB26=1,OR(DC26&lt;3,DC26&gt;5)))),"Nâng PcNG cùng QĐ",IF(AND(CV26="Hưu",AB26&lt;(AD26-1),DC26&gt;0,DC26&lt;18,BG26&gt;3,BZ26&gt;2,BZ26&lt;6),"Nâng Lg Sớm +(PcNG cùng QĐ)",IF(AND(CV26="Hưu",AB26&gt;(AD26-2),OR(BE26=0.33,BE26=0.34),BG26&gt;3,BZ26&gt;2,BZ26&lt;6),"Nâng Ngạch?? +(PcNG cùng QĐ)",IF(AND(CV26="Hưu",BB26=1,DC26&gt;2,DC26&lt;6,BG26&gt;3,BZ26&gt;2,BZ26&lt;6),"Nâng (PcVK +PcNG) cùng QĐ",("---"))))))))</f>
        <v>---</v>
      </c>
      <c r="CV26" s="1434" t="str">
        <f>IF(AND(DG26&gt;DF26,DG26&lt;(DF26+13)),"Hưu",IF(AND(DG26&gt;(DF26+12),DG26&lt;1000),"Quá","/-/ /-/"))</f>
        <v>/-/ /-/</v>
      </c>
      <c r="CW26" s="1434">
        <f>IF((I26+0)&lt;12,(I26+0)+1,IF((I26+0)=12,1,IF((I26+0)&gt;12,(I26+0)-12)))</f>
        <v>3</v>
      </c>
      <c r="CX26" s="1434">
        <f>IF(OR((I26+0)=12,(I26+0)&gt;12),K26+DF26/12+1,IF(AND((I26+0)&gt;0,(I26+0)&lt;12),K26+DF26/12,"---"))</f>
        <v>2020</v>
      </c>
      <c r="CY26" s="1434">
        <f>IF(AND(CW26&gt;3,CW26&lt;13),CW26-3,IF(CW26&lt;4,CW26-3+12))</f>
        <v>12</v>
      </c>
      <c r="CZ26" s="1434">
        <f>IF(CY26&lt;CW26,CX26,IF(CY26&gt;CW26,CX26-1))</f>
        <v>2019</v>
      </c>
      <c r="DA26" s="1434">
        <f>IF(CW26&gt;6,CW26-6,IF(CW26=6,12,IF(CW26&lt;6,CW26+6)))</f>
        <v>9</v>
      </c>
      <c r="DB26" s="1436">
        <f>IF(CW26&gt;6,CX26,IF(CW26&lt;7,CX26-1))</f>
        <v>2019</v>
      </c>
      <c r="DC26" s="1437" t="str">
        <f>IF(AND(CV26="Hưu",BB26=3),36+AM26-(12*(DB26-AX26)+(DA26-AV26)),IF(AND(CV26="Hưu",BB26=2),24+AM26-(12*(DB26-AX26)+(DA26-AV26)),IF(AND(CV26="Hưu",BB26=1),12+AM26-(12*(DB26-AX26)+(DA26-AV26)),"- - -")))</f>
        <v>- - -</v>
      </c>
      <c r="DD26" s="1437" t="str">
        <f>IF(DE26&gt;0,"K.Dài",". .")</f>
        <v>. .</v>
      </c>
      <c r="DE26" s="1425"/>
      <c r="DF26" s="1425">
        <f>IF(F26="Nam",(60+DE26)*12,IF(F26="Nữ",(55+DE26)*12,))</f>
        <v>720</v>
      </c>
      <c r="DG26" s="1425">
        <f>12*($CV$4-K26)+(12-I26)</f>
        <v>-23510</v>
      </c>
      <c r="DH26" s="1425">
        <f>$DL$4-K26</f>
        <v>-1960</v>
      </c>
      <c r="DI26" s="1425" t="str">
        <f>IF(AND(DH26&lt;35,F26="Nam"),"Nam dưới 35",IF(AND(DH26&lt;30,F26="Nữ"),"Nữ dưới 30",IF(AND(DH26&gt;34,DH26&lt;46,F26="Nam"),"Nam từ 35 - 45",IF(AND(DH26&gt;29,DH26&lt;41,F26="Nữ"),"Nữ từ 30 - 40",IF(AND(DH26&gt;45,DH26&lt;56,F26="Nam"),"Nam trên 45 - 55",IF(AND(DH26&gt;40,DH26&lt;51,F26="Nữ"),"Nữ trên 40 - 50",IF(AND(DH26&gt;55,F26="Nam"),"Nam trên 55","Nữ trên 50")))))))</f>
        <v>Nam dưới 35</v>
      </c>
      <c r="DJ26" s="1425"/>
      <c r="DK26" s="1427"/>
      <c r="DL26" s="1414" t="str">
        <f>IF(DH26&lt;31,"Đến 30",IF(AND(DH26&gt;30,DH26&lt;46),"31 - 45",IF(AND(DH26&gt;45,DH26&lt;70),"Trên 45")))</f>
        <v>Đến 30</v>
      </c>
      <c r="DM26" s="1399" t="str">
        <f>IF(DN26&gt;0,"TD","--")</f>
        <v>--</v>
      </c>
      <c r="DN26" s="1399"/>
      <c r="DO26" s="1399"/>
      <c r="DP26" s="1399"/>
      <c r="DQ26" s="1414"/>
      <c r="DR26" s="1414"/>
      <c r="DS26" s="1438"/>
      <c r="DT26" s="1439"/>
      <c r="DU26" s="1415"/>
      <c r="DV26" s="1438"/>
      <c r="DW26" s="1410"/>
      <c r="DX26" s="1440" t="s">
        <v>417</v>
      </c>
      <c r="DY26" s="1440"/>
      <c r="DZ26" s="1440" t="s">
        <v>342</v>
      </c>
      <c r="EA26" s="1441" t="s">
        <v>360</v>
      </c>
      <c r="EB26" s="1440" t="s">
        <v>348</v>
      </c>
      <c r="EC26" s="1399" t="s">
        <v>360</v>
      </c>
      <c r="ED26" s="1410">
        <v>2012</v>
      </c>
      <c r="EE26" s="1440">
        <f>(DZ26+0)-(EG26+0)</f>
        <v>0</v>
      </c>
      <c r="EF26" s="1440" t="str">
        <f>IF(EE26&gt;0,"Sửa","- - -")</f>
        <v>- - -</v>
      </c>
      <c r="EG26" s="1440" t="s">
        <v>342</v>
      </c>
      <c r="EH26" s="1441" t="s">
        <v>360</v>
      </c>
      <c r="EI26" s="1399" t="s">
        <v>348</v>
      </c>
      <c r="EJ26" s="1414" t="s">
        <v>360</v>
      </c>
      <c r="EK26" s="1436">
        <v>2012</v>
      </c>
      <c r="EL26" s="1415"/>
      <c r="EM26" s="1434" t="str">
        <f>IF(AND(BE26&gt;0.34,AO26=1,OR(BD26=6.2,BD26=5.75)),((BD26-EL26)-2*0.34),IF(AND(BE26&gt;0.33,AO26=1,OR(BD26=4.4,BD26=4)),((BD26-EL26)-2*0.33),"- - -"))</f>
        <v>- - -</v>
      </c>
      <c r="EN26" s="1434" t="str">
        <f>IF(CV26="Hưu",12*(DB26-AX26)+(DA26-AV26),"---")</f>
        <v>---</v>
      </c>
    </row>
    <row r="27" spans="1:144" s="1434" customFormat="1" ht="40.5" customHeight="1" x14ac:dyDescent="0.2">
      <c r="A27" s="1399">
        <v>756</v>
      </c>
      <c r="B27" s="1400">
        <v>12</v>
      </c>
      <c r="C27" s="1399"/>
      <c r="D27" s="1399" t="str">
        <f>IF(F27="Nam","Ông","Bà")</f>
        <v>Ông</v>
      </c>
      <c r="E27" s="1401" t="s">
        <v>80</v>
      </c>
      <c r="F27" s="1402" t="s">
        <v>379</v>
      </c>
      <c r="G27" s="1403" t="s">
        <v>350</v>
      </c>
      <c r="H27" s="1403" t="s">
        <v>360</v>
      </c>
      <c r="I27" s="1403" t="s">
        <v>345</v>
      </c>
      <c r="J27" s="720" t="s">
        <v>360</v>
      </c>
      <c r="K27" s="720" t="s">
        <v>14</v>
      </c>
      <c r="L27" s="720" t="s">
        <v>452</v>
      </c>
      <c r="M27" s="720" t="str">
        <f>IF(L27="công chức","CC",IF(L27="viên chức","VC",IF(L27="người lao động","NLĐ","- - -")))</f>
        <v>VC</v>
      </c>
      <c r="N27" s="720"/>
      <c r="O27" s="720" t="e">
        <f>IF(AND((Q27+0)&gt;0.3,(Q27+0)&lt;1.5),"CVụ","- -")</f>
        <v>#N/A</v>
      </c>
      <c r="P27" s="720"/>
      <c r="Q27" s="1401" t="e">
        <f>VLOOKUP(P27,'[1]- DLiêu Gốc (Không sửa)'!$C$2:$H$116,2,0)</f>
        <v>#N/A</v>
      </c>
      <c r="R27" s="1404" t="s">
        <v>564</v>
      </c>
      <c r="S27" s="722" t="s">
        <v>561</v>
      </c>
      <c r="T27" s="1405" t="str">
        <f>VLOOKUP(Y27,'Du lieu lien quan'!$C$2:$H$60,5,0)</f>
        <v>A1</v>
      </c>
      <c r="U27" s="1405" t="str">
        <f>VLOOKUP(Y27,'Du lieu lien quan'!$C$2:$H$60,6,0)</f>
        <v>- - -</v>
      </c>
      <c r="V27" s="1405" t="s">
        <v>425</v>
      </c>
      <c r="W27" s="1406" t="str">
        <f>IF(OR(Y27="Kỹ thuật viên đánh máy",Y27="Nhân viên đánh máy",Y27="Nhân viên kỹ thuật",Y27="Nhân viên văn thư",Y27="Nhân viên phục vụ",Y27="Lái xe cơ quan",Y27="Nhân viên bảo vệ"),"Nhân viên",Y27)</f>
        <v>Giáo viên trung học</v>
      </c>
      <c r="X27" s="761" t="str">
        <f>IF(W27="Nhân viên","01.005",Z27)</f>
        <v>15.113</v>
      </c>
      <c r="Y27" s="722" t="s">
        <v>313</v>
      </c>
      <c r="Z27" s="761" t="str">
        <f>VLOOKUP(Y27,'Du lieu lien quan'!$C$1:$H$133,2,0)</f>
        <v>15.113</v>
      </c>
      <c r="AA27" s="761" t="str">
        <f>IF(OR(AND(BC27=36,BB27=3),AND(BC27=24,BB27=2),AND(BC27=12,BB27=1)),"Đến $",IF(OR(AND(BC27&gt;36,BB27=3),AND(BC27&gt;24,BB27=2),AND(BC27&gt;12,BB27=1)),"Dừng $","Lương"))</f>
        <v>Lương</v>
      </c>
      <c r="AB27" s="1407">
        <v>9</v>
      </c>
      <c r="AC27" s="756" t="str">
        <f>IF(AD27&gt;0,"/")</f>
        <v>/</v>
      </c>
      <c r="AD27" s="756">
        <f>IF(OR(BE27=0.18,BE27=0.2),12,IF(BE27=0.31,10,IF(BE27=0.33,9,IF(BE27=0.34,8,IF(BE27=0.36,6)))))</f>
        <v>9</v>
      </c>
      <c r="AE27" s="1408">
        <f>BD27+(AB27-1)*BE27</f>
        <v>4.9800000000000004</v>
      </c>
      <c r="AF27" s="1409">
        <v>5</v>
      </c>
      <c r="AG27" s="722" t="str">
        <f>IF(AD27=AB27,"%",IF(AD27&gt;AB27,"/"))</f>
        <v>%</v>
      </c>
      <c r="AH27" s="1410" t="s">
        <v>342</v>
      </c>
      <c r="AI27" s="727" t="s">
        <v>360</v>
      </c>
      <c r="AJ27" s="1442" t="s">
        <v>372</v>
      </c>
      <c r="AK27" s="1412" t="s">
        <v>360</v>
      </c>
      <c r="AL27" s="1413">
        <v>2021</v>
      </c>
      <c r="AM27" s="1414"/>
      <c r="AN27" s="1415"/>
      <c r="AO27" s="1416"/>
      <c r="AP27" s="1417"/>
      <c r="AQ27" s="1418"/>
      <c r="AR27" s="2281">
        <f>IF(AND(AD27=AB27,AF27=0),5,IF(AND(AD27=AB27,AF27&gt;4),AF27+1,IF(AD27&gt;AB27,AD27)))</f>
        <v>6</v>
      </c>
      <c r="AS27" s="722" t="str">
        <f>IF(AD27=AB27,"%",IF(AD27&gt;AB27,AE27+BE27))</f>
        <v>%</v>
      </c>
      <c r="AT27" s="1420" t="s">
        <v>342</v>
      </c>
      <c r="AU27" s="1421" t="s">
        <v>360</v>
      </c>
      <c r="AV27" s="1411" t="s">
        <v>372</v>
      </c>
      <c r="AW27" s="1418" t="s">
        <v>360</v>
      </c>
      <c r="AX27" s="1422">
        <v>2022</v>
      </c>
      <c r="AY27" s="1423"/>
      <c r="AZ27" s="1414"/>
      <c r="BA27" s="1424"/>
      <c r="BB27" s="1425">
        <f>IF(AND(AD27&gt;AB27,OR(BE27=0.18,BE27=0.2)),2,IF(AND(AD27&gt;AB27,OR(BE27=0.31,BE27=0.33,BE27=0.34,BE27=0.36)),3,IF(AD27=AB27,1)))</f>
        <v>1</v>
      </c>
      <c r="BC27" s="1426">
        <f>12*($AA$2-AX27)+($AA$3-AV27)-AM27</f>
        <v>-24274</v>
      </c>
      <c r="BD27" s="1426">
        <f>VLOOKUP(Y27,'Du lieu lien quan'!$C$1:$F$60,3,0)</f>
        <v>2.34</v>
      </c>
      <c r="BE27" s="1427">
        <f>VLOOKUP(Y27,'Du lieu lien quan'!$C$1:$F$60,4,0)</f>
        <v>0.33</v>
      </c>
      <c r="BF27" s="1428" t="str">
        <f>IF(AND(BG27&gt;3,BY27=12),"Đến %",IF(AND(BG27&gt;3,BY27&gt;12,BY27&lt;120),"Dừng %",IF(AND(BG27&gt;3,BY27&lt;12),"PCTN","o-o-o")))</f>
        <v>PCTN</v>
      </c>
      <c r="BG27" s="1429">
        <v>33</v>
      </c>
      <c r="BH27" s="1430" t="s">
        <v>333</v>
      </c>
      <c r="BI27" s="1431" t="s">
        <v>342</v>
      </c>
      <c r="BJ27" s="1432" t="s">
        <v>360</v>
      </c>
      <c r="BK27" s="1431" t="s">
        <v>342</v>
      </c>
      <c r="BL27" s="1415" t="s">
        <v>360</v>
      </c>
      <c r="BM27" s="1396">
        <v>2021</v>
      </c>
      <c r="BN27" s="1397"/>
      <c r="BO27" s="1428"/>
      <c r="BP27" s="1429">
        <f>IF(BG27&gt;3,BG27+1,0)</f>
        <v>34</v>
      </c>
      <c r="BQ27" s="1430" t="s">
        <v>333</v>
      </c>
      <c r="BR27" s="1431" t="s">
        <v>342</v>
      </c>
      <c r="BS27" s="1432" t="s">
        <v>360</v>
      </c>
      <c r="BT27" s="1431" t="s">
        <v>342</v>
      </c>
      <c r="BU27" s="1415" t="s">
        <v>360</v>
      </c>
      <c r="BV27" s="729">
        <v>2022</v>
      </c>
      <c r="BW27" s="1414"/>
      <c r="BX27" s="1427">
        <v>1</v>
      </c>
      <c r="BY27" s="1427">
        <f>IF(BG27&gt;3,(($BF$2-BV27)*12+($BF$3-BT27)-BN27),"- - -")</f>
        <v>-24265</v>
      </c>
      <c r="BZ27" s="1415" t="str">
        <f>IF(AND(CV27="Hưu",BG27&gt;3),12-(12*(DB27-BV27)+(DA27-BT27))-BN27,"- - -")</f>
        <v>- - -</v>
      </c>
      <c r="CA27" s="1433" t="str">
        <f>IF(OR(S27="Ban Tổ chức - Cán bộ",S27="Văn phòng Học viện",S27="Phó Giám đốc Thường trực Học viện",S27="Phó Giám đốc Học viện"),"Chánh Văn phòng Học viện, Trưởng Ban Tổ chức - Cán bộ",IF(OR(S27="Trung tâm Ngoại ngữ",S27="Trung tâm Tin học hành chính và Công nghệ thông tin",S27="Trung tâm Tin học - Thư viện",S27="Phân viện khu vực Tây Nguyên"),"Chánh Văn phòng Học viện, Trưởng Ban Tổ chức - Cán bộ, "&amp;CONCATENATE("Giám đốc ",S27),IF(S27="Tạp chí Quản lý nhà nước","Chánh Văn phòng Học viện, Trưởng Ban Tổ chức - Cán bộ, "&amp;CONCATENATE("Tổng Biên tập ",S27),IF(S27="Văn phòng Đảng uỷ Học viện","Chánh Văn phòng Học viện, Trưởng Ban Tổ chức - Cán bộ, "&amp;CONCATENATE("Chánh",S27),IF(S27="Viện Nghiên cứu Khoa học hành chính","Chánh Văn phòng Học viện, Trưởng Ban Tổ chức - Cán bộ, "&amp;CONCATENATE("Viện Trưởng ",S27),IF(OR(S27="Cơ sở Học viện Hành chính Quốc gia khu vực miền Trung",S27="Cơ sở Học viện Hành chính Quốc gia tại Thành phố Hồ Chí Minh"),"Chánh Văn phòng Học viện, Trưởng Ban Tổ chức - Cán bộ, "&amp;CONCATENATE("Thủ trưởng ",S27),"Chánh Văn phòng Học viện, Trưởng Ban Tổ chức - Cán bộ, "&amp;CONCATENATE("Trưởng ",S27)))))))</f>
        <v>Chánh Văn phòng Học viện, Trưởng Ban Tổ chức - Cán bộ, Trưởng Phân viện Học viện Hành chính Quốc gia khu vực Tây Nguyên</v>
      </c>
      <c r="CB27" s="1425" t="str">
        <f>IF(S27="Cơ sở Học viện Hành chính khu vực miền Trung","B",IF(S27="Phân viện Khu vực Tây Nguyên","C",IF(S27="Cơ sở Học viện Hành chính tại thành phố Hồ Chí Minh","D","A")))</f>
        <v>A</v>
      </c>
      <c r="CC27" s="1425" t="str">
        <f>IF(AND(AO27&gt;0,AB27&lt;(AD27-1),CD27&gt;0,CD27&lt;13,OR(AND(CJ27="Cùg Ng",($CC$2-CF27)&gt;BB27),CJ27="- - -")),"Sớm TT","=&gt; s")</f>
        <v>=&gt; s</v>
      </c>
      <c r="CD27" s="1399" t="str">
        <f>IF(BB27=3,36-(12*($CC$2-AX27)+(12-AV27)-AM27),IF(BB27=2,24-(12*($CC$2-AX27)+(12-AV27)-AM27),"---"))</f>
        <v>---</v>
      </c>
      <c r="CE27" s="1399" t="str">
        <f>IF(CF27&gt;1,"S","---")</f>
        <v>---</v>
      </c>
      <c r="CG27" s="1399"/>
      <c r="CI27" s="1399"/>
      <c r="CJ27" s="1414" t="str">
        <f>IF(X27=CG27,"Cùg Ng","- - -")</f>
        <v>- - -</v>
      </c>
      <c r="CK27" s="1414" t="str">
        <f>IF(CM27&gt;2000,"NN","- - -")</f>
        <v>- - -</v>
      </c>
      <c r="CL27" s="1399"/>
      <c r="CM27" s="1414"/>
      <c r="CN27" s="1414"/>
      <c r="CO27" s="1414"/>
      <c r="CP27" s="1414" t="str">
        <f>IF(CR27&gt;2000,"CN","- - -")</f>
        <v>- - -</v>
      </c>
      <c r="CQ27" s="1399"/>
      <c r="CR27" s="1414"/>
      <c r="CS27" s="1414"/>
      <c r="CT27" s="1435"/>
      <c r="CU27" s="1398" t="str">
        <f>IF(AND(CV27="Hưu",AB27&lt;(AD27-1),DC27&gt;0,DC27&lt;18,OR(BG27&lt;4,AND(BG27&gt;3,OR(BZ27&lt;3,BZ27&gt;5)))),"Lg Sớm",IF(AND(CV27="Hưu",AB27&gt;(AD27-2),OR(BE27=0.33,BE27=0.34),OR(BG27&lt;4,AND(BG27&gt;3,OR(BZ27&lt;3,BZ27&gt;5)))),"Nâng Ngạch",IF(AND(CV27="Hưu",BB27=1,DC27&gt;2,DC27&lt;6,OR(BG27&lt;4,AND(BG27&gt;3,OR(BZ27&lt;3,BZ27&gt;5)))),"Nâng PcVK cùng QĐ",IF(AND(CV27="Hưu",BG27&gt;3,BZ27&gt;2,BZ27&lt;6,AB27&lt;(AD27-1),DC27&gt;17,OR(BB27&gt;1,AND(BB27=1,OR(DC27&lt;3,DC27&gt;5)))),"Nâng PcNG cùng QĐ",IF(AND(CV27="Hưu",AB27&lt;(AD27-1),DC27&gt;0,DC27&lt;18,BG27&gt;3,BZ27&gt;2,BZ27&lt;6),"Nâng Lg Sớm +(PcNG cùng QĐ)",IF(AND(CV27="Hưu",AB27&gt;(AD27-2),OR(BE27=0.33,BE27=0.34),BG27&gt;3,BZ27&gt;2,BZ27&lt;6),"Nâng Ngạch +(PcNG cùng QĐ)",IF(AND(CV27="Hưu",BB27=1,DC27&gt;2,DC27&lt;6,BG27&gt;3,BZ27&gt;2,BZ27&lt;6),"Nâng (PcVK +PcNG) cùng QĐ",("---"))))))))</f>
        <v>---</v>
      </c>
      <c r="CV27" s="1434" t="str">
        <f>IF(AND(DG27&gt;DF27,DG27&lt;(DF27+13)),"Hưu",IF(AND(DG27&gt;(DF27+12),DG27&lt;1000),"Quá","/-/ /-/"))</f>
        <v>/-/ /-/</v>
      </c>
      <c r="CW27" s="1434">
        <f>IF((I27+0)&lt;12,(I27+0)+1,IF((I27+0)=12,1,IF((I27+0)&gt;12,(I27+0)-12)))</f>
        <v>7</v>
      </c>
      <c r="CX27" s="1434">
        <f>IF(OR((I27+0)=12,(I27+0)&gt;12),K27+DF27/12+1,IF(AND((I27+0)&gt;0,(I27+0)&lt;12),K27+DF27/12,"---"))</f>
        <v>2023</v>
      </c>
      <c r="CY27" s="1434">
        <f>IF(AND(CW27&gt;3,CW27&lt;13),CW27-3,IF(CW27&lt;4,CW27-3+12))</f>
        <v>4</v>
      </c>
      <c r="CZ27" s="1434">
        <f>IF(CY27&lt;CW27,CX27,IF(CY27&gt;CW27,CX27-1))</f>
        <v>2023</v>
      </c>
      <c r="DA27" s="1434">
        <f>IF(CW27&gt;6,CW27-6,IF(CW27=6,12,IF(CW27&lt;6,CW27+6)))</f>
        <v>1</v>
      </c>
      <c r="DB27" s="1436">
        <f>IF(CW27&gt;6,CX27,IF(CW27&lt;7,CX27-1))</f>
        <v>2023</v>
      </c>
      <c r="DC27" s="1437" t="str">
        <f>IF(AND(CV27="Hưu",BB27=3),36+AM27-(12*(DB27-AX27)+(DA27-AV27)),IF(AND(CV27="Hưu",BB27=2),24+AM27-(12*(DB27-AX27)+(DA27-AV27)),IF(AND(CV27="Hưu",BB27=1),12+AM27-(12*(DB27-AX27)+(DA27-AV27)),"- - -")))</f>
        <v>- - -</v>
      </c>
      <c r="DD27" s="1437" t="str">
        <f>IF(DE27&gt;0,"K.Dài",". .")</f>
        <v>. .</v>
      </c>
      <c r="DE27" s="1425"/>
      <c r="DF27" s="1425">
        <f>IF(F27="Nam",(60+DE27)*12,IF(F27="Nữ",(55+DE27)*12,))</f>
        <v>720</v>
      </c>
      <c r="DG27" s="1425">
        <f>12*($CV$4-K27)+(12-I27)</f>
        <v>-23550</v>
      </c>
      <c r="DH27" s="1425">
        <f>$DL$4-K27</f>
        <v>-1963</v>
      </c>
      <c r="DI27" s="1425" t="str">
        <f>IF(AND(DH27&lt;35,F27="Nam"),"Nam dưới 35",IF(AND(DH27&lt;30,F27="Nữ"),"Nữ dưới 30",IF(AND(DH27&gt;34,DH27&lt;46,F27="Nam"),"Nam từ 35 - 45",IF(AND(DH27&gt;29,DH27&lt;41,F27="Nữ"),"Nữ từ 30 - 40",IF(AND(DH27&gt;45,DH27&lt;56,F27="Nam"),"Nam trên 45 - 55",IF(AND(DH27&gt;40,DH27&lt;51,F27="Nữ"),"Nữ trên 40 - 50",IF(AND(DH27&gt;55,F27="Nam"),"Nam trên 55","Nữ trên 50")))))))</f>
        <v>Nam dưới 35</v>
      </c>
      <c r="DJ27" s="1425"/>
      <c r="DK27" s="1427"/>
      <c r="DL27" s="1414" t="str">
        <f>IF(DH27&lt;31,"Đến 30",IF(AND(DH27&gt;30,DH27&lt;46),"31 - 45",IF(AND(DH27&gt;45,DH27&lt;70),"Trên 45")))</f>
        <v>Đến 30</v>
      </c>
      <c r="DM27" s="1399" t="str">
        <f>IF(DN27&gt;0,"TD","--")</f>
        <v>--</v>
      </c>
      <c r="DN27" s="1399"/>
      <c r="DO27" s="1399"/>
      <c r="DP27" s="1399"/>
      <c r="DQ27" s="1414"/>
      <c r="DR27" s="1414"/>
      <c r="DS27" s="1438"/>
      <c r="DT27" s="1439"/>
      <c r="DU27" s="1415"/>
      <c r="DV27" s="1438"/>
      <c r="DW27" s="1410" t="s">
        <v>81</v>
      </c>
      <c r="DX27" s="1440" t="s">
        <v>150</v>
      </c>
      <c r="DY27" s="1440" t="s">
        <v>213</v>
      </c>
      <c r="DZ27" s="1440" t="s">
        <v>342</v>
      </c>
      <c r="EA27" s="1441" t="s">
        <v>360</v>
      </c>
      <c r="EB27" s="1440" t="s">
        <v>372</v>
      </c>
      <c r="EC27" s="1399" t="s">
        <v>360</v>
      </c>
      <c r="ED27" s="1410">
        <v>2012</v>
      </c>
      <c r="EE27" s="1440">
        <f>(DZ27+0)-(EG27+0)</f>
        <v>0</v>
      </c>
      <c r="EF27" s="1440" t="str">
        <f>IF(EE27&gt;0,"Sửa","- - -")</f>
        <v>- - -</v>
      </c>
      <c r="EG27" s="1440" t="s">
        <v>342</v>
      </c>
      <c r="EH27" s="1441" t="s">
        <v>360</v>
      </c>
      <c r="EI27" s="1399" t="s">
        <v>372</v>
      </c>
      <c r="EJ27" s="1414" t="s">
        <v>360</v>
      </c>
      <c r="EK27" s="1436">
        <v>2012</v>
      </c>
      <c r="EL27" s="1415"/>
      <c r="EM27" s="1434" t="str">
        <f>IF(AND(BE27&gt;0.34,AO27=1,OR(BD27=6.2,BD27=5.75)),((BD27-EL27)-2*0.34),IF(AND(BE27&gt;0.33,AO27=1,OR(BD27=4.4,BD27=4)),((BD27-EL27)-2*0.33),"- - -"))</f>
        <v>- - -</v>
      </c>
      <c r="EN27" s="1434" t="str">
        <f>IF(CV27="Hưu",12*(DB27-AX27)+(DA27-AV27),"---")</f>
        <v>---</v>
      </c>
    </row>
    <row r="28" spans="1:144" s="719" customFormat="1" ht="20.25" customHeight="1" x14ac:dyDescent="0.2">
      <c r="A28" s="865"/>
      <c r="B28" s="848"/>
      <c r="C28" s="865"/>
      <c r="D28" s="1443"/>
      <c r="E28" s="1444"/>
      <c r="F28" s="1445"/>
      <c r="J28" s="837"/>
      <c r="K28" s="837"/>
      <c r="L28" s="837"/>
      <c r="M28" s="837"/>
      <c r="N28" s="837"/>
      <c r="O28" s="837"/>
      <c r="P28" s="837"/>
      <c r="Q28" s="1443"/>
      <c r="R28" s="1443"/>
      <c r="S28" s="1446"/>
      <c r="T28" s="1446"/>
      <c r="U28" s="825"/>
      <c r="V28" s="1447"/>
      <c r="W28" s="824"/>
      <c r="X28" s="837"/>
      <c r="Y28" s="843"/>
      <c r="Z28" s="843"/>
      <c r="AA28" s="1448"/>
      <c r="AB28" s="2289" t="s">
        <v>662</v>
      </c>
      <c r="AC28" s="2289"/>
      <c r="AD28" s="2289"/>
      <c r="AE28" s="2289"/>
      <c r="AF28" s="2289"/>
      <c r="AG28" s="2289"/>
      <c r="AH28" s="2289"/>
      <c r="AI28" s="2289"/>
      <c r="AJ28" s="2289"/>
      <c r="AK28" s="2289"/>
      <c r="AL28" s="2289"/>
      <c r="AM28" s="2289"/>
      <c r="AN28" s="2289"/>
      <c r="AO28" s="2289"/>
      <c r="AP28" s="2289"/>
      <c r="AQ28" s="2289"/>
      <c r="AR28" s="2289"/>
      <c r="AS28" s="2289"/>
      <c r="AT28" s="2289"/>
      <c r="AU28" s="2289"/>
      <c r="AV28" s="2289"/>
      <c r="AW28" s="2289"/>
      <c r="AX28" s="2289"/>
      <c r="AY28" s="2289"/>
      <c r="AZ28" s="1136"/>
      <c r="BA28" s="1136"/>
      <c r="BB28" s="1136"/>
      <c r="BC28" s="1136"/>
      <c r="BD28" s="1136"/>
      <c r="BE28" s="1136"/>
      <c r="BF28" s="1136"/>
      <c r="BG28" s="1136"/>
      <c r="BH28" s="1136"/>
      <c r="BI28" s="1136"/>
      <c r="BJ28" s="1136"/>
      <c r="BK28" s="1136"/>
      <c r="BL28" s="1136"/>
      <c r="BM28" s="1136"/>
      <c r="BN28" s="1136"/>
      <c r="BO28" s="1136"/>
      <c r="BP28" s="1136"/>
      <c r="BQ28" s="1136"/>
      <c r="BR28" s="1136"/>
      <c r="BS28" s="1136"/>
      <c r="BT28" s="1136"/>
      <c r="BU28" s="1136"/>
      <c r="BV28" s="1136"/>
      <c r="BW28" s="1136"/>
      <c r="BX28" s="1136"/>
      <c r="BY28" s="1136"/>
      <c r="BZ28" s="865"/>
      <c r="CA28" s="1449"/>
      <c r="CB28" s="828"/>
      <c r="CD28" s="1450"/>
      <c r="CE28" s="1451"/>
      <c r="CF28" s="865"/>
    </row>
    <row r="29" spans="1:144" s="719" customFormat="1" ht="12.75" customHeight="1" x14ac:dyDescent="0.2">
      <c r="A29" s="865"/>
      <c r="B29" s="848"/>
      <c r="C29" s="865"/>
      <c r="D29" s="1443"/>
      <c r="E29" s="1444"/>
      <c r="F29" s="1445"/>
      <c r="J29" s="837"/>
      <c r="K29" s="837"/>
      <c r="L29" s="837"/>
      <c r="M29" s="837"/>
      <c r="N29" s="837"/>
      <c r="O29" s="837"/>
      <c r="P29" s="837"/>
      <c r="Q29" s="1443"/>
      <c r="R29" s="1443"/>
      <c r="S29" s="1446"/>
      <c r="T29" s="1446"/>
      <c r="U29" s="825"/>
      <c r="V29" s="1447"/>
      <c r="W29" s="824"/>
      <c r="X29" s="837"/>
      <c r="Y29" s="843"/>
      <c r="Z29" s="843"/>
      <c r="AA29" s="1448"/>
      <c r="AB29" s="2290"/>
      <c r="AC29" s="2290"/>
      <c r="AD29" s="2290"/>
      <c r="AE29" s="2290"/>
      <c r="AF29" s="2290"/>
      <c r="AG29" s="2290"/>
      <c r="AH29" s="2290"/>
      <c r="AI29" s="2290"/>
      <c r="AJ29" s="2290"/>
      <c r="AK29" s="2290"/>
      <c r="AL29" s="2290"/>
      <c r="AM29" s="2290"/>
      <c r="AN29" s="2290"/>
      <c r="AO29" s="2290"/>
      <c r="AP29" s="2290"/>
      <c r="AQ29" s="2290"/>
      <c r="AR29" s="2290"/>
      <c r="AS29" s="2290"/>
      <c r="AT29" s="2290"/>
      <c r="AU29" s="2290"/>
      <c r="AV29" s="2290"/>
      <c r="AW29" s="2290"/>
      <c r="AX29" s="2290"/>
      <c r="AY29" s="2290"/>
      <c r="AZ29" s="914"/>
      <c r="BA29" s="914"/>
      <c r="BB29" s="914"/>
      <c r="BC29" s="914"/>
      <c r="BD29" s="914"/>
      <c r="BE29" s="914"/>
      <c r="BF29" s="914"/>
      <c r="BG29" s="914"/>
      <c r="BH29" s="914"/>
      <c r="BI29" s="914"/>
      <c r="BJ29" s="914"/>
      <c r="BK29" s="914"/>
      <c r="BL29" s="914"/>
      <c r="BM29" s="914"/>
      <c r="BN29" s="914"/>
      <c r="BO29" s="914"/>
      <c r="BP29" s="914"/>
      <c r="BQ29" s="914"/>
      <c r="BR29" s="914"/>
      <c r="BS29" s="914"/>
      <c r="BT29" s="914"/>
      <c r="BU29" s="914"/>
      <c r="BV29" s="914"/>
      <c r="BW29" s="914"/>
      <c r="BX29" s="914"/>
      <c r="BY29" s="914"/>
      <c r="BZ29" s="865"/>
      <c r="CA29" s="1449"/>
      <c r="CB29" s="828"/>
      <c r="CD29" s="1450"/>
      <c r="CE29" s="1451"/>
      <c r="CF29" s="865"/>
    </row>
    <row r="30" spans="1:144" s="719" customFormat="1" x14ac:dyDescent="0.2">
      <c r="A30" s="865"/>
      <c r="B30" s="848"/>
      <c r="C30" s="865"/>
      <c r="D30" s="1443"/>
      <c r="E30" s="1444"/>
      <c r="F30" s="1445"/>
      <c r="J30" s="837"/>
      <c r="K30" s="837"/>
      <c r="L30" s="837"/>
      <c r="M30" s="837"/>
      <c r="N30" s="837"/>
      <c r="O30" s="837"/>
      <c r="P30" s="837"/>
      <c r="Q30" s="1443"/>
      <c r="R30" s="1443"/>
      <c r="S30" s="1446"/>
      <c r="T30" s="1446"/>
      <c r="U30" s="825"/>
      <c r="V30" s="1447"/>
      <c r="W30" s="824"/>
      <c r="X30" s="837"/>
      <c r="Y30" s="843"/>
      <c r="Z30" s="843"/>
      <c r="AA30" s="1448"/>
      <c r="AB30" s="1448"/>
      <c r="AC30" s="1452"/>
      <c r="AD30" s="1453"/>
      <c r="AE30" s="1454"/>
      <c r="AF30" s="1454"/>
      <c r="AG30" s="1454"/>
      <c r="AH30" s="1453"/>
      <c r="AI30" s="842"/>
      <c r="AJ30" s="1450"/>
      <c r="AK30" s="1452"/>
      <c r="AL30" s="1455"/>
      <c r="AM30" s="1455"/>
      <c r="AN30" s="1455"/>
      <c r="AO30" s="1456"/>
      <c r="AP30" s="1452"/>
      <c r="AQ30" s="1457"/>
      <c r="AR30" s="1458"/>
      <c r="AS30" s="1458"/>
      <c r="AT30" s="1453"/>
      <c r="AU30" s="842"/>
      <c r="AV30" s="1450"/>
      <c r="AW30" s="1452"/>
      <c r="AX30" s="1455"/>
      <c r="AY30" s="813"/>
      <c r="AZ30" s="1450"/>
      <c r="BB30" s="1448"/>
      <c r="BC30" s="866"/>
      <c r="BD30" s="1453"/>
      <c r="BE30" s="1459"/>
      <c r="BF30" s="1456"/>
      <c r="BG30" s="1453"/>
      <c r="BH30" s="1456"/>
      <c r="BI30" s="1459"/>
      <c r="BJ30" s="1453"/>
      <c r="BK30" s="1460"/>
      <c r="BL30" s="825"/>
      <c r="BM30" s="1446"/>
      <c r="BR30" s="1461"/>
      <c r="BS30" s="1462"/>
      <c r="BT30" s="1459"/>
      <c r="BU30" s="825"/>
      <c r="BV30" s="1443"/>
      <c r="BW30" s="1443"/>
      <c r="BX30" s="828"/>
      <c r="BY30" s="828"/>
      <c r="BZ30" s="865"/>
      <c r="CA30" s="1449"/>
      <c r="CB30" s="828"/>
      <c r="CD30" s="1450"/>
      <c r="CE30" s="1451"/>
      <c r="CF30" s="865"/>
    </row>
    <row r="31" spans="1:144" s="719" customFormat="1" ht="12.75" customHeight="1" x14ac:dyDescent="0.2">
      <c r="A31" s="865"/>
      <c r="B31" s="848"/>
      <c r="C31" s="865"/>
      <c r="D31" s="1443"/>
      <c r="E31" s="1444"/>
      <c r="F31" s="1445"/>
      <c r="J31" s="837"/>
      <c r="K31" s="837"/>
      <c r="L31" s="837"/>
      <c r="M31" s="837"/>
      <c r="N31" s="837"/>
      <c r="O31" s="837"/>
      <c r="P31" s="837"/>
      <c r="Q31" s="1443"/>
      <c r="R31" s="1443"/>
      <c r="S31" s="1446"/>
      <c r="T31" s="1446"/>
      <c r="U31" s="825"/>
      <c r="V31" s="1447"/>
      <c r="W31" s="824"/>
      <c r="X31" s="837"/>
      <c r="Y31" s="843"/>
      <c r="Z31" s="843"/>
      <c r="AA31" s="1448"/>
      <c r="AB31" s="1448"/>
      <c r="AC31" s="1452"/>
      <c r="AD31" s="1453"/>
      <c r="AE31" s="1454"/>
      <c r="AF31" s="1454"/>
      <c r="AG31" s="1454"/>
      <c r="AH31" s="1453"/>
      <c r="AI31" s="842"/>
      <c r="AJ31" s="1450"/>
      <c r="AK31" s="1452"/>
      <c r="AL31" s="2358" t="s">
        <v>308</v>
      </c>
      <c r="AM31" s="2358"/>
      <c r="AN31" s="2358"/>
      <c r="AO31" s="2358"/>
      <c r="AP31" s="2358"/>
      <c r="AQ31" s="2358"/>
      <c r="AR31" s="1458"/>
      <c r="AS31" s="1458"/>
      <c r="AT31" s="1453"/>
      <c r="AU31" s="842"/>
      <c r="AV31" s="1450"/>
      <c r="AW31" s="1452"/>
      <c r="AX31" s="1455"/>
      <c r="AY31" s="813"/>
      <c r="AZ31" s="1450"/>
      <c r="BB31" s="1448"/>
      <c r="BC31" s="866"/>
      <c r="BD31" s="1453"/>
      <c r="BE31" s="1459"/>
      <c r="BF31" s="1456"/>
      <c r="BG31" s="1453"/>
      <c r="BH31" s="1456"/>
      <c r="BI31" s="1459"/>
      <c r="BJ31" s="1453"/>
      <c r="BK31" s="1460"/>
      <c r="BL31" s="825"/>
      <c r="BM31" s="1446"/>
      <c r="BR31" s="1461"/>
      <c r="BS31" s="1462"/>
      <c r="BT31" s="1459"/>
      <c r="BU31" s="825"/>
      <c r="BV31" s="1443"/>
      <c r="BW31" s="1443"/>
      <c r="BX31" s="828"/>
      <c r="BY31" s="828"/>
      <c r="BZ31" s="865"/>
      <c r="CA31" s="1449"/>
      <c r="CB31" s="828"/>
      <c r="CD31" s="1450"/>
      <c r="CE31" s="1451"/>
      <c r="CF31" s="865"/>
    </row>
    <row r="32" spans="1:144" s="719" customFormat="1" ht="15.75" customHeight="1" x14ac:dyDescent="0.2">
      <c r="A32" s="865"/>
      <c r="B32" s="848"/>
      <c r="C32" s="865"/>
      <c r="D32" s="1443"/>
      <c r="E32" s="1444"/>
      <c r="F32" s="1445"/>
      <c r="J32" s="837"/>
      <c r="K32" s="837"/>
      <c r="L32" s="837"/>
      <c r="M32" s="837"/>
      <c r="N32" s="837"/>
      <c r="O32" s="837"/>
      <c r="P32" s="837"/>
      <c r="Q32" s="1443"/>
      <c r="R32" s="1443"/>
      <c r="S32" s="1446"/>
      <c r="T32" s="1446"/>
      <c r="U32" s="825"/>
      <c r="V32" s="1447"/>
      <c r="W32" s="824"/>
      <c r="X32" s="837"/>
      <c r="Y32" s="843"/>
      <c r="Z32" s="843"/>
      <c r="AA32" s="1448"/>
      <c r="AB32" s="1448"/>
      <c r="AC32" s="1452"/>
      <c r="AD32" s="1453"/>
      <c r="AE32" s="1454"/>
      <c r="AF32" s="1454"/>
      <c r="AG32" s="1454"/>
      <c r="AH32" s="1453"/>
      <c r="AI32" s="842"/>
      <c r="AJ32" s="1450"/>
      <c r="AK32" s="1452"/>
      <c r="AL32" s="1455"/>
      <c r="AM32" s="1455"/>
      <c r="AN32" s="1455"/>
      <c r="AO32" s="1456"/>
      <c r="AP32" s="1452"/>
      <c r="AQ32" s="1457"/>
      <c r="AR32" s="1458"/>
      <c r="AS32" s="1458"/>
      <c r="AT32" s="1453"/>
      <c r="AU32" s="842"/>
      <c r="AV32" s="1450"/>
      <c r="AW32" s="1452"/>
      <c r="AX32" s="1455"/>
      <c r="AY32" s="813"/>
      <c r="AZ32" s="1450"/>
      <c r="BB32" s="1448"/>
      <c r="BC32" s="866"/>
      <c r="BD32" s="1453"/>
      <c r="BE32" s="1459"/>
      <c r="BF32" s="1456"/>
      <c r="BG32" s="1453"/>
      <c r="BH32" s="1456"/>
      <c r="BI32" s="1459"/>
      <c r="BJ32" s="1453"/>
      <c r="BK32" s="1460"/>
      <c r="BL32" s="825"/>
      <c r="BM32" s="1446"/>
      <c r="BR32" s="1461"/>
      <c r="BS32" s="1462"/>
      <c r="BT32" s="1459"/>
      <c r="BU32" s="825"/>
      <c r="BV32" s="1443"/>
      <c r="BW32" s="1443"/>
      <c r="BX32" s="828"/>
      <c r="BY32" s="828"/>
      <c r="BZ32" s="865"/>
      <c r="CA32" s="1449"/>
      <c r="CB32" s="828"/>
      <c r="CD32" s="1450"/>
      <c r="CE32" s="1451"/>
      <c r="CF32" s="865"/>
    </row>
    <row r="33" spans="1:115" s="719" customFormat="1" x14ac:dyDescent="0.2">
      <c r="A33" s="865"/>
      <c r="B33" s="848"/>
      <c r="C33" s="865"/>
      <c r="D33" s="1443"/>
      <c r="E33" s="1444"/>
      <c r="F33" s="1445"/>
      <c r="J33" s="837"/>
      <c r="K33" s="837"/>
      <c r="L33" s="837"/>
      <c r="M33" s="837"/>
      <c r="N33" s="837"/>
      <c r="O33" s="837"/>
      <c r="P33" s="837"/>
      <c r="Q33" s="1443"/>
      <c r="R33" s="1443"/>
      <c r="S33" s="1446"/>
      <c r="T33" s="1446"/>
      <c r="U33" s="825"/>
      <c r="V33" s="1447"/>
      <c r="W33" s="824"/>
      <c r="X33" s="837"/>
      <c r="Y33" s="843"/>
      <c r="Z33" s="843"/>
      <c r="AA33" s="1448"/>
      <c r="AB33" s="2350" t="s">
        <v>152</v>
      </c>
      <c r="AC33" s="2350"/>
      <c r="AD33" s="2350"/>
      <c r="AE33" s="2350"/>
      <c r="AF33" s="2350"/>
      <c r="AG33" s="2350"/>
      <c r="AH33" s="2350"/>
      <c r="AI33" s="2350"/>
      <c r="AJ33" s="2350"/>
      <c r="AK33" s="2350"/>
      <c r="AL33" s="2350"/>
      <c r="AM33" s="2350"/>
      <c r="AN33" s="2350"/>
      <c r="AO33" s="2350"/>
      <c r="AP33" s="2350"/>
      <c r="AQ33" s="2350"/>
      <c r="AR33" s="2350"/>
      <c r="AS33" s="2350"/>
      <c r="AT33" s="2350"/>
      <c r="AU33" s="2350"/>
      <c r="AV33" s="2350"/>
      <c r="AW33" s="2350"/>
      <c r="AX33" s="2350"/>
      <c r="AY33" s="2350"/>
      <c r="AZ33" s="1450"/>
      <c r="BB33" s="1448"/>
      <c r="BC33" s="866"/>
      <c r="BD33" s="1453"/>
      <c r="BE33" s="1459"/>
      <c r="BF33" s="1456"/>
      <c r="BG33" s="1453"/>
      <c r="BH33" s="1456"/>
      <c r="BI33" s="1459"/>
      <c r="BJ33" s="1453"/>
      <c r="BK33" s="1460"/>
      <c r="BL33" s="825"/>
      <c r="BM33" s="1446"/>
      <c r="BR33" s="1461"/>
      <c r="BS33" s="1462"/>
      <c r="BT33" s="1459"/>
      <c r="BU33" s="825"/>
      <c r="BV33" s="1443"/>
      <c r="BW33" s="1443"/>
      <c r="BX33" s="828"/>
      <c r="BY33" s="828"/>
      <c r="BZ33" s="865"/>
      <c r="CA33" s="1449"/>
      <c r="CB33" s="828"/>
      <c r="CD33" s="1450"/>
      <c r="CE33" s="1451"/>
      <c r="CF33" s="865"/>
    </row>
    <row r="34" spans="1:115" s="719" customFormat="1" x14ac:dyDescent="0.2">
      <c r="A34" s="865"/>
      <c r="B34" s="848"/>
      <c r="C34" s="865"/>
      <c r="D34" s="1443"/>
      <c r="E34" s="1444"/>
      <c r="F34" s="1445"/>
      <c r="J34" s="837"/>
      <c r="K34" s="837"/>
      <c r="L34" s="837"/>
      <c r="M34" s="837"/>
      <c r="N34" s="837"/>
      <c r="O34" s="837"/>
      <c r="P34" s="837"/>
      <c r="Q34" s="1443"/>
      <c r="R34" s="1443"/>
      <c r="S34" s="1446"/>
      <c r="T34" s="1446"/>
      <c r="U34" s="825"/>
      <c r="V34" s="1447"/>
      <c r="W34" s="824"/>
      <c r="X34" s="837"/>
      <c r="Y34" s="843"/>
      <c r="Z34" s="843"/>
      <c r="AA34" s="1448"/>
      <c r="AB34" s="1448"/>
      <c r="AC34" s="1452"/>
      <c r="AD34" s="1453"/>
      <c r="AE34" s="1454"/>
      <c r="AF34" s="1454"/>
      <c r="AG34" s="1454"/>
      <c r="AH34" s="1453"/>
      <c r="AI34" s="842"/>
      <c r="AJ34" s="1450"/>
      <c r="AK34" s="1452"/>
      <c r="AL34" s="1455"/>
      <c r="AM34" s="1455"/>
      <c r="AN34" s="1455"/>
      <c r="AO34" s="1456"/>
      <c r="AP34" s="1452"/>
      <c r="AQ34" s="1457"/>
      <c r="AR34" s="1458"/>
      <c r="AS34" s="1458"/>
      <c r="AT34" s="1453"/>
      <c r="AU34" s="842"/>
      <c r="AV34" s="1450"/>
      <c r="AW34" s="1452"/>
      <c r="AX34" s="1455"/>
      <c r="AY34" s="813"/>
      <c r="AZ34" s="1450"/>
      <c r="BB34" s="1448"/>
      <c r="BC34" s="866"/>
      <c r="BD34" s="1453"/>
      <c r="BE34" s="1459"/>
      <c r="BF34" s="1456"/>
      <c r="BG34" s="1453"/>
      <c r="BH34" s="1456"/>
      <c r="BI34" s="1459"/>
      <c r="BJ34" s="1453"/>
      <c r="BK34" s="1460"/>
      <c r="BL34" s="825"/>
      <c r="BM34" s="1446"/>
      <c r="BR34" s="1461"/>
      <c r="BS34" s="1462"/>
      <c r="BT34" s="1459"/>
      <c r="BU34" s="825"/>
      <c r="BV34" s="1443"/>
      <c r="BW34" s="1443"/>
      <c r="BX34" s="828"/>
      <c r="BY34" s="828"/>
      <c r="BZ34" s="865"/>
      <c r="CA34" s="1449"/>
      <c r="CB34" s="828"/>
      <c r="CD34" s="1450"/>
      <c r="CE34" s="1451"/>
      <c r="CF34" s="865"/>
    </row>
    <row r="35" spans="1:115" s="719" customFormat="1" x14ac:dyDescent="0.2">
      <c r="A35" s="865"/>
      <c r="B35" s="848"/>
      <c r="C35" s="865"/>
      <c r="D35" s="1443"/>
      <c r="E35" s="1444"/>
      <c r="F35" s="1445"/>
      <c r="J35" s="837"/>
      <c r="K35" s="837"/>
      <c r="L35" s="837"/>
      <c r="M35" s="837"/>
      <c r="N35" s="837"/>
      <c r="O35" s="837"/>
      <c r="P35" s="837"/>
      <c r="Q35" s="1443"/>
      <c r="R35" s="1443"/>
      <c r="S35" s="1446"/>
      <c r="T35" s="1446"/>
      <c r="U35" s="825"/>
      <c r="V35" s="1447"/>
      <c r="W35" s="824"/>
      <c r="X35" s="837"/>
      <c r="Y35" s="843"/>
      <c r="Z35" s="843"/>
      <c r="AA35" s="1448"/>
      <c r="AB35" s="1448"/>
      <c r="AC35" s="1452"/>
      <c r="AD35" s="1453"/>
      <c r="AE35" s="1454"/>
      <c r="AF35" s="1454"/>
      <c r="AG35" s="1454"/>
      <c r="AH35" s="1453"/>
      <c r="AI35" s="842"/>
      <c r="AJ35" s="1450"/>
      <c r="AK35" s="1452"/>
      <c r="AL35" s="1455"/>
      <c r="AM35" s="1455"/>
      <c r="AN35" s="1455"/>
      <c r="AO35" s="1456"/>
      <c r="AP35" s="1452"/>
      <c r="AQ35" s="1457"/>
      <c r="AR35" s="1458"/>
      <c r="AS35" s="1458"/>
      <c r="AT35" s="1453"/>
      <c r="AU35" s="842"/>
      <c r="AV35" s="1450"/>
      <c r="AW35" s="1452"/>
      <c r="AX35" s="1455"/>
      <c r="AY35" s="813"/>
      <c r="AZ35" s="1450"/>
      <c r="BB35" s="1448"/>
      <c r="BC35" s="866"/>
      <c r="BD35" s="1453"/>
      <c r="BE35" s="1459"/>
      <c r="BF35" s="1456"/>
      <c r="BG35" s="1453"/>
      <c r="BH35" s="1456"/>
      <c r="BI35" s="1459"/>
      <c r="BJ35" s="1453"/>
      <c r="BK35" s="1460"/>
      <c r="BL35" s="825"/>
      <c r="BM35" s="1446"/>
      <c r="BR35" s="1461"/>
      <c r="BS35" s="1462"/>
      <c r="BT35" s="1459"/>
      <c r="BU35" s="825"/>
      <c r="BV35" s="1443"/>
      <c r="BW35" s="1443"/>
      <c r="BX35" s="828"/>
      <c r="BY35" s="828"/>
      <c r="BZ35" s="865"/>
      <c r="CA35" s="1449"/>
      <c r="CB35" s="828"/>
      <c r="CD35" s="1450"/>
      <c r="CE35" s="1451"/>
      <c r="CF35" s="865"/>
    </row>
    <row r="36" spans="1:115" s="719" customFormat="1" x14ac:dyDescent="0.2">
      <c r="A36" s="865"/>
      <c r="B36" s="848"/>
      <c r="C36" s="865"/>
      <c r="D36" s="1443"/>
      <c r="E36" s="1444"/>
      <c r="F36" s="1445"/>
      <c r="J36" s="837"/>
      <c r="K36" s="837"/>
      <c r="L36" s="837"/>
      <c r="M36" s="837"/>
      <c r="N36" s="837"/>
      <c r="O36" s="837"/>
      <c r="P36" s="837"/>
      <c r="Q36" s="1443"/>
      <c r="R36" s="1443"/>
      <c r="S36" s="1446"/>
      <c r="T36" s="1446"/>
      <c r="U36" s="825"/>
      <c r="V36" s="1447"/>
      <c r="W36" s="824"/>
      <c r="X36" s="837"/>
      <c r="Y36" s="843"/>
      <c r="Z36" s="843"/>
      <c r="AA36" s="1448"/>
      <c r="AB36" s="1448"/>
      <c r="AC36" s="1452"/>
      <c r="AD36" s="1453"/>
      <c r="AE36" s="1454"/>
      <c r="AF36" s="1454"/>
      <c r="AG36" s="1454"/>
      <c r="AH36" s="1453"/>
      <c r="AI36" s="842"/>
      <c r="AJ36" s="1450"/>
      <c r="AK36" s="1452"/>
      <c r="AL36" s="1455"/>
      <c r="AM36" s="1455"/>
      <c r="AN36" s="1455"/>
      <c r="AO36" s="1456"/>
      <c r="AP36" s="1452"/>
      <c r="AQ36" s="1457"/>
      <c r="AR36" s="1458"/>
      <c r="AS36" s="1458"/>
      <c r="AT36" s="1453"/>
      <c r="AU36" s="842"/>
      <c r="AV36" s="1450"/>
      <c r="AW36" s="1452"/>
      <c r="AX36" s="1455"/>
      <c r="AY36" s="813"/>
      <c r="AZ36" s="1450"/>
      <c r="BB36" s="1448"/>
      <c r="BC36" s="866"/>
      <c r="BD36" s="1453"/>
      <c r="BE36" s="1459"/>
      <c r="BF36" s="1456"/>
      <c r="BG36" s="1453"/>
      <c r="BH36" s="1456"/>
      <c r="BI36" s="1459"/>
      <c r="BJ36" s="1453"/>
      <c r="BK36" s="1460"/>
      <c r="BL36" s="825"/>
      <c r="BM36" s="1446"/>
      <c r="BR36" s="1461"/>
      <c r="BS36" s="1462"/>
      <c r="BT36" s="1459"/>
      <c r="BU36" s="825"/>
      <c r="BV36" s="1443"/>
      <c r="BW36" s="1443"/>
      <c r="BX36" s="828"/>
      <c r="BY36" s="828"/>
      <c r="BZ36" s="865"/>
      <c r="CA36" s="1449"/>
      <c r="CB36" s="828"/>
      <c r="CD36" s="1450"/>
      <c r="CE36" s="1451"/>
      <c r="CF36" s="865"/>
    </row>
    <row r="37" spans="1:115" s="719" customFormat="1" x14ac:dyDescent="0.2">
      <c r="A37" s="865"/>
      <c r="B37" s="848"/>
      <c r="C37" s="865"/>
      <c r="D37" s="1443"/>
      <c r="E37" s="1444"/>
      <c r="F37" s="1445"/>
      <c r="J37" s="837"/>
      <c r="K37" s="837"/>
      <c r="L37" s="837"/>
      <c r="M37" s="837"/>
      <c r="N37" s="837"/>
      <c r="O37" s="837"/>
      <c r="P37" s="837"/>
      <c r="Q37" s="1443"/>
      <c r="R37" s="1443"/>
      <c r="S37" s="1446"/>
      <c r="T37" s="1446"/>
      <c r="U37" s="825"/>
      <c r="V37" s="1447"/>
      <c r="W37" s="824"/>
      <c r="X37" s="837"/>
      <c r="Y37" s="843"/>
      <c r="Z37" s="843"/>
      <c r="AA37" s="1448"/>
      <c r="AB37" s="1448"/>
      <c r="AC37" s="1452"/>
      <c r="AD37" s="1453"/>
      <c r="AE37" s="1454"/>
      <c r="AF37" s="1454"/>
      <c r="AG37" s="1454"/>
      <c r="AH37" s="1453"/>
      <c r="AI37" s="842"/>
      <c r="AJ37" s="1450"/>
      <c r="AK37" s="1452"/>
      <c r="AL37" s="1455"/>
      <c r="AM37" s="1455"/>
      <c r="AN37" s="1455"/>
      <c r="AO37" s="1456"/>
      <c r="AP37" s="1452"/>
      <c r="AQ37" s="1457"/>
      <c r="AR37" s="1458"/>
      <c r="AS37" s="1458"/>
      <c r="AT37" s="1453"/>
      <c r="AU37" s="842"/>
      <c r="AV37" s="1450"/>
      <c r="AW37" s="1452"/>
      <c r="AX37" s="1455"/>
      <c r="AY37" s="813"/>
      <c r="AZ37" s="1450"/>
      <c r="BB37" s="1448"/>
      <c r="BC37" s="866"/>
      <c r="BD37" s="1453"/>
      <c r="BE37" s="1459"/>
      <c r="BF37" s="1456"/>
      <c r="BG37" s="1453"/>
      <c r="BH37" s="1456"/>
      <c r="BI37" s="1459"/>
      <c r="BJ37" s="1453"/>
      <c r="BK37" s="1460"/>
      <c r="BL37" s="825"/>
      <c r="BM37" s="1446"/>
      <c r="BR37" s="1461"/>
      <c r="BS37" s="1462"/>
      <c r="BT37" s="1459"/>
      <c r="BU37" s="825"/>
      <c r="BV37" s="1443"/>
      <c r="BW37" s="1443"/>
      <c r="BX37" s="828"/>
      <c r="BY37" s="828"/>
      <c r="BZ37" s="865"/>
      <c r="CA37" s="1449"/>
      <c r="CB37" s="828"/>
      <c r="CD37" s="1450"/>
      <c r="CE37" s="1451"/>
      <c r="CF37" s="865"/>
    </row>
    <row r="38" spans="1:115" s="719" customFormat="1" x14ac:dyDescent="0.2">
      <c r="A38" s="865"/>
      <c r="B38" s="848"/>
      <c r="C38" s="865"/>
      <c r="D38" s="1443"/>
      <c r="E38" s="1444"/>
      <c r="F38" s="1445"/>
      <c r="J38" s="837"/>
      <c r="K38" s="837"/>
      <c r="L38" s="837"/>
      <c r="M38" s="837"/>
      <c r="N38" s="837"/>
      <c r="O38" s="837"/>
      <c r="P38" s="837"/>
      <c r="Q38" s="1443"/>
      <c r="R38" s="1443"/>
      <c r="S38" s="1446"/>
      <c r="T38" s="1446"/>
      <c r="U38" s="825"/>
      <c r="V38" s="1447"/>
      <c r="W38" s="824"/>
      <c r="X38" s="837"/>
      <c r="Y38" s="843"/>
      <c r="Z38" s="843"/>
      <c r="AA38" s="1448"/>
      <c r="AB38" s="1448"/>
      <c r="AC38" s="1452"/>
      <c r="AD38" s="1453"/>
      <c r="AE38" s="1454"/>
      <c r="AF38" s="1454"/>
      <c r="AG38" s="1454"/>
      <c r="AH38" s="1453"/>
      <c r="AI38" s="842"/>
      <c r="AJ38" s="1450"/>
      <c r="AK38" s="1452"/>
      <c r="AL38" s="1455"/>
      <c r="AM38" s="1455"/>
      <c r="AN38" s="1455"/>
      <c r="AO38" s="1456"/>
      <c r="AP38" s="1452"/>
      <c r="AQ38" s="1457"/>
      <c r="AR38" s="1458"/>
      <c r="AS38" s="1458"/>
      <c r="AT38" s="1453"/>
      <c r="AU38" s="842"/>
      <c r="AV38" s="1450"/>
      <c r="AW38" s="1452"/>
      <c r="AX38" s="1455"/>
      <c r="AY38" s="813"/>
      <c r="AZ38" s="1450"/>
      <c r="BB38" s="1448"/>
      <c r="BC38" s="866"/>
      <c r="BD38" s="1453"/>
      <c r="BE38" s="1459"/>
      <c r="BF38" s="1456"/>
      <c r="BG38" s="1453"/>
      <c r="BH38" s="1456"/>
      <c r="BI38" s="1459"/>
      <c r="BJ38" s="1453"/>
      <c r="BK38" s="1460"/>
      <c r="BL38" s="825"/>
      <c r="BM38" s="1446"/>
      <c r="BR38" s="1461"/>
      <c r="BS38" s="1462"/>
      <c r="BT38" s="1459"/>
      <c r="BU38" s="825"/>
      <c r="BV38" s="1443"/>
      <c r="BW38" s="1443"/>
      <c r="BX38" s="828"/>
      <c r="BY38" s="828"/>
      <c r="BZ38" s="865"/>
      <c r="CA38" s="1449"/>
      <c r="CB38" s="828"/>
      <c r="CD38" s="1450"/>
      <c r="CE38" s="1451"/>
      <c r="CF38" s="865"/>
    </row>
    <row r="39" spans="1:115" s="719" customFormat="1" x14ac:dyDescent="0.2">
      <c r="A39" s="865"/>
      <c r="B39" s="848"/>
      <c r="C39" s="865"/>
      <c r="D39" s="1443"/>
      <c r="E39" s="1444"/>
      <c r="F39" s="1445"/>
      <c r="J39" s="837"/>
      <c r="K39" s="837"/>
      <c r="L39" s="837"/>
      <c r="M39" s="837"/>
      <c r="N39" s="837"/>
      <c r="O39" s="837"/>
      <c r="P39" s="837"/>
      <c r="Q39" s="1443"/>
      <c r="R39" s="1443"/>
      <c r="S39" s="1446"/>
      <c r="T39" s="1446"/>
      <c r="U39" s="825"/>
      <c r="V39" s="1447"/>
      <c r="W39" s="824"/>
      <c r="X39" s="837"/>
      <c r="Y39" s="843"/>
      <c r="Z39" s="843"/>
      <c r="AA39" s="1448"/>
      <c r="AB39" s="1448"/>
      <c r="AC39" s="1452"/>
      <c r="AD39" s="1453"/>
      <c r="AE39" s="1454"/>
      <c r="AF39" s="1454"/>
      <c r="AG39" s="1454"/>
      <c r="AH39" s="1453"/>
      <c r="AI39" s="842"/>
      <c r="AJ39" s="1450"/>
      <c r="AK39" s="1452"/>
      <c r="AL39" s="1455"/>
      <c r="AM39" s="1455"/>
      <c r="AN39" s="1455"/>
      <c r="AO39" s="1456"/>
      <c r="AP39" s="1452"/>
      <c r="AQ39" s="1457"/>
      <c r="AR39" s="1458"/>
      <c r="AS39" s="1458"/>
      <c r="AT39" s="1453"/>
      <c r="AU39" s="842"/>
      <c r="AV39" s="1450"/>
      <c r="AW39" s="1452"/>
      <c r="AX39" s="1455"/>
      <c r="AY39" s="813"/>
      <c r="AZ39" s="1450"/>
      <c r="BB39" s="1448"/>
      <c r="BC39" s="866"/>
      <c r="BD39" s="1453"/>
      <c r="BE39" s="1459"/>
      <c r="BF39" s="1456"/>
      <c r="BG39" s="1453"/>
      <c r="BH39" s="1456"/>
      <c r="BI39" s="1459"/>
      <c r="BJ39" s="1453"/>
      <c r="BK39" s="1460"/>
      <c r="BL39" s="825"/>
      <c r="BM39" s="1446"/>
      <c r="BR39" s="1461"/>
      <c r="BS39" s="1462"/>
      <c r="BT39" s="1459"/>
      <c r="BU39" s="825"/>
      <c r="BV39" s="1443"/>
      <c r="BW39" s="1443"/>
      <c r="BX39" s="828"/>
      <c r="BY39" s="828"/>
      <c r="BZ39" s="865"/>
      <c r="CA39" s="1449"/>
      <c r="CB39" s="828"/>
      <c r="CD39" s="1450"/>
      <c r="CE39" s="1451"/>
      <c r="CF39" s="865"/>
    </row>
    <row r="40" spans="1:115" s="719" customFormat="1" x14ac:dyDescent="0.2">
      <c r="A40" s="865"/>
      <c r="B40" s="848"/>
      <c r="C40" s="865"/>
      <c r="D40" s="1443"/>
      <c r="E40" s="1444"/>
      <c r="F40" s="1445"/>
      <c r="J40" s="837"/>
      <c r="K40" s="837"/>
      <c r="L40" s="837"/>
      <c r="M40" s="837"/>
      <c r="N40" s="837"/>
      <c r="O40" s="837"/>
      <c r="P40" s="837"/>
      <c r="Q40" s="1443"/>
      <c r="R40" s="1443"/>
      <c r="S40" s="1446"/>
      <c r="T40" s="1446"/>
      <c r="U40" s="825"/>
      <c r="V40" s="1447"/>
      <c r="W40" s="824"/>
      <c r="X40" s="837"/>
      <c r="Y40" s="843"/>
      <c r="Z40" s="843"/>
      <c r="AA40" s="1448"/>
      <c r="AB40" s="1448"/>
      <c r="AC40" s="1452"/>
      <c r="AD40" s="1453"/>
      <c r="AE40" s="1454"/>
      <c r="AF40" s="1454"/>
      <c r="AG40" s="1454"/>
      <c r="AH40" s="1453"/>
      <c r="AI40" s="842"/>
      <c r="AJ40" s="1450"/>
      <c r="AK40" s="1452"/>
      <c r="AL40" s="1455"/>
      <c r="AM40" s="1455"/>
      <c r="AN40" s="1455"/>
      <c r="AO40" s="1456"/>
      <c r="AP40" s="1452"/>
      <c r="AQ40" s="1457"/>
      <c r="AR40" s="1458"/>
      <c r="AS40" s="1458"/>
      <c r="AT40" s="1453"/>
      <c r="AU40" s="842"/>
      <c r="AV40" s="1450"/>
      <c r="AW40" s="1452"/>
      <c r="AX40" s="1455"/>
      <c r="AY40" s="813"/>
      <c r="AZ40" s="1450"/>
      <c r="BB40" s="1448"/>
      <c r="BC40" s="866"/>
      <c r="BD40" s="1453"/>
      <c r="BE40" s="1459"/>
      <c r="BF40" s="1456"/>
      <c r="BG40" s="1453"/>
      <c r="BH40" s="1456"/>
      <c r="BI40" s="1459"/>
      <c r="BJ40" s="1453"/>
      <c r="BK40" s="1460"/>
      <c r="BL40" s="825"/>
      <c r="BM40" s="1446"/>
      <c r="BR40" s="1461"/>
      <c r="BS40" s="1462"/>
      <c r="BT40" s="1459"/>
      <c r="BU40" s="825"/>
      <c r="BV40" s="1443"/>
      <c r="BW40" s="1443"/>
      <c r="BX40" s="828"/>
      <c r="BY40" s="828"/>
      <c r="BZ40" s="865"/>
      <c r="CA40" s="1449"/>
      <c r="CB40" s="828"/>
      <c r="CD40" s="1450"/>
      <c r="CE40" s="1451"/>
      <c r="CF40" s="865"/>
    </row>
    <row r="41" spans="1:115" s="719" customFormat="1" x14ac:dyDescent="0.2">
      <c r="A41" s="865"/>
      <c r="B41" s="848"/>
      <c r="C41" s="865"/>
      <c r="D41" s="1443"/>
      <c r="E41" s="1444"/>
      <c r="F41" s="1445"/>
      <c r="J41" s="837"/>
      <c r="K41" s="837"/>
      <c r="L41" s="837"/>
      <c r="M41" s="837"/>
      <c r="N41" s="837"/>
      <c r="O41" s="837"/>
      <c r="P41" s="837"/>
      <c r="Q41" s="1443"/>
      <c r="R41" s="1443"/>
      <c r="S41" s="1446"/>
      <c r="T41" s="1446"/>
      <c r="U41" s="825"/>
      <c r="V41" s="1447"/>
      <c r="W41" s="824"/>
      <c r="X41" s="837"/>
      <c r="Y41" s="843"/>
      <c r="Z41" s="843"/>
      <c r="AA41" s="1448"/>
      <c r="AB41" s="1448"/>
      <c r="AC41" s="1452"/>
      <c r="AD41" s="1453"/>
      <c r="AE41" s="1454"/>
      <c r="AF41" s="1454"/>
      <c r="AG41" s="1454"/>
      <c r="AH41" s="1453"/>
      <c r="AI41" s="842"/>
      <c r="AJ41" s="1450"/>
      <c r="AK41" s="1452"/>
      <c r="AL41" s="1455"/>
      <c r="AM41" s="1455"/>
      <c r="AN41" s="1455"/>
      <c r="AO41" s="1456"/>
      <c r="AP41" s="1452"/>
      <c r="AQ41" s="1457"/>
      <c r="AR41" s="1458"/>
      <c r="AS41" s="1458"/>
      <c r="AT41" s="1453"/>
      <c r="AU41" s="842"/>
      <c r="AV41" s="1450"/>
      <c r="AW41" s="1452"/>
      <c r="AX41" s="1455"/>
      <c r="AY41" s="813"/>
      <c r="AZ41" s="1450"/>
      <c r="BB41" s="1448"/>
      <c r="BC41" s="866"/>
      <c r="BD41" s="1453"/>
      <c r="BE41" s="1459"/>
      <c r="BF41" s="1456"/>
      <c r="BG41" s="1453"/>
      <c r="BH41" s="1456"/>
      <c r="BI41" s="1459"/>
      <c r="BJ41" s="1453"/>
      <c r="BK41" s="1460"/>
      <c r="BL41" s="825"/>
      <c r="BM41" s="1446"/>
      <c r="BR41" s="1461"/>
      <c r="BS41" s="1462"/>
      <c r="BT41" s="1459"/>
      <c r="BU41" s="825"/>
      <c r="BV41" s="1443"/>
      <c r="BW41" s="1443"/>
      <c r="BX41" s="828"/>
      <c r="BY41" s="828"/>
      <c r="BZ41" s="865"/>
      <c r="CA41" s="1449"/>
      <c r="CB41" s="828"/>
      <c r="CD41" s="1450"/>
      <c r="CE41" s="1451"/>
      <c r="CF41" s="865"/>
    </row>
    <row r="42" spans="1:115" s="719" customFormat="1" x14ac:dyDescent="0.2">
      <c r="A42" s="865"/>
      <c r="B42" s="848"/>
      <c r="C42" s="865"/>
      <c r="D42" s="1443"/>
      <c r="E42" s="1444"/>
      <c r="F42" s="1445"/>
      <c r="J42" s="837"/>
      <c r="K42" s="837"/>
      <c r="L42" s="837"/>
      <c r="M42" s="837"/>
      <c r="N42" s="837"/>
      <c r="O42" s="837"/>
      <c r="P42" s="837"/>
      <c r="Q42" s="1443"/>
      <c r="R42" s="1443"/>
      <c r="S42" s="1446"/>
      <c r="T42" s="1446"/>
      <c r="U42" s="825"/>
      <c r="V42" s="1447"/>
      <c r="W42" s="824"/>
      <c r="X42" s="837"/>
      <c r="Y42" s="843"/>
      <c r="Z42" s="843"/>
      <c r="AA42" s="1448"/>
      <c r="AB42" s="1448"/>
      <c r="AC42" s="1452"/>
      <c r="AD42" s="1453"/>
      <c r="AE42" s="1454"/>
      <c r="AF42" s="1454"/>
      <c r="AG42" s="1454"/>
      <c r="AH42" s="1453"/>
      <c r="AI42" s="842"/>
      <c r="AJ42" s="1450"/>
      <c r="AK42" s="1452"/>
      <c r="AL42" s="1455"/>
      <c r="AM42" s="1455"/>
      <c r="AN42" s="1455"/>
      <c r="AO42" s="1456"/>
      <c r="AP42" s="1452"/>
      <c r="AQ42" s="1457"/>
      <c r="AR42" s="1458"/>
      <c r="AS42" s="1458"/>
      <c r="AT42" s="1453"/>
      <c r="AU42" s="842"/>
      <c r="AV42" s="1450"/>
      <c r="AW42" s="1452"/>
      <c r="AX42" s="1455"/>
      <c r="AY42" s="813"/>
      <c r="AZ42" s="1450"/>
      <c r="BB42" s="1448"/>
      <c r="BC42" s="866"/>
      <c r="BD42" s="1453"/>
      <c r="BE42" s="1459"/>
      <c r="BF42" s="1456"/>
      <c r="BG42" s="1453"/>
      <c r="BH42" s="1456"/>
      <c r="BI42" s="1459"/>
      <c r="BJ42" s="1453"/>
      <c r="BK42" s="1460"/>
      <c r="BL42" s="825"/>
      <c r="BM42" s="1446"/>
      <c r="BR42" s="1461"/>
      <c r="BS42" s="1462"/>
      <c r="BT42" s="1459"/>
      <c r="BU42" s="825"/>
      <c r="BV42" s="1443"/>
      <c r="BW42" s="1443"/>
      <c r="BX42" s="828"/>
      <c r="BY42" s="828"/>
      <c r="BZ42" s="865"/>
      <c r="CA42" s="1449"/>
      <c r="CB42" s="828"/>
      <c r="CD42" s="1450"/>
      <c r="CE42" s="1451"/>
      <c r="CF42" s="865"/>
    </row>
    <row r="43" spans="1:115" s="719" customFormat="1" x14ac:dyDescent="0.2">
      <c r="A43" s="865"/>
      <c r="B43" s="848"/>
      <c r="C43" s="865"/>
      <c r="D43" s="1443"/>
      <c r="E43" s="1444"/>
      <c r="F43" s="1445"/>
      <c r="J43" s="837"/>
      <c r="K43" s="837"/>
      <c r="L43" s="837"/>
      <c r="M43" s="837"/>
      <c r="N43" s="837"/>
      <c r="O43" s="837"/>
      <c r="P43" s="837"/>
      <c r="Q43" s="1443"/>
      <c r="R43" s="1443"/>
      <c r="S43" s="1446"/>
      <c r="T43" s="1446"/>
      <c r="U43" s="825"/>
      <c r="V43" s="1447"/>
      <c r="W43" s="824"/>
      <c r="X43" s="837"/>
      <c r="Y43" s="843"/>
      <c r="Z43" s="843"/>
      <c r="AA43" s="1448"/>
      <c r="AB43" s="1448"/>
      <c r="AC43" s="1452"/>
      <c r="AD43" s="1453"/>
      <c r="AE43" s="1454"/>
      <c r="AF43" s="1454"/>
      <c r="AG43" s="1454"/>
      <c r="AH43" s="1453"/>
      <c r="AI43" s="842"/>
      <c r="AJ43" s="1450"/>
      <c r="AK43" s="1452"/>
      <c r="AL43" s="1455"/>
      <c r="AM43" s="1455"/>
      <c r="AN43" s="1455"/>
      <c r="AO43" s="1456"/>
      <c r="AP43" s="1452"/>
      <c r="AQ43" s="1457"/>
      <c r="AR43" s="1458"/>
      <c r="AS43" s="1458"/>
      <c r="AT43" s="1453"/>
      <c r="AU43" s="842"/>
      <c r="AV43" s="1450"/>
      <c r="AW43" s="1452"/>
      <c r="AX43" s="1455"/>
      <c r="AY43" s="813"/>
      <c r="AZ43" s="1450"/>
      <c r="BB43" s="1448"/>
      <c r="BC43" s="866"/>
      <c r="BD43" s="1453"/>
      <c r="BE43" s="1459"/>
      <c r="BF43" s="1456"/>
      <c r="BG43" s="1453"/>
      <c r="BH43" s="1456"/>
      <c r="BI43" s="1459"/>
      <c r="BJ43" s="1453"/>
      <c r="BK43" s="1460"/>
      <c r="BL43" s="825"/>
      <c r="BM43" s="1446"/>
      <c r="BR43" s="1461"/>
      <c r="BS43" s="1462"/>
      <c r="BT43" s="1459"/>
      <c r="BU43" s="825"/>
      <c r="BV43" s="1443"/>
      <c r="BW43" s="1443"/>
      <c r="BX43" s="828"/>
      <c r="BY43" s="828"/>
      <c r="BZ43" s="865"/>
      <c r="CA43" s="1449"/>
      <c r="CB43" s="828"/>
      <c r="CD43" s="1450"/>
      <c r="CE43" s="1451"/>
      <c r="CF43" s="865"/>
    </row>
    <row r="44" spans="1:115" s="719" customFormat="1" x14ac:dyDescent="0.2">
      <c r="A44" s="865"/>
      <c r="B44" s="848"/>
      <c r="C44" s="865"/>
      <c r="D44" s="1443"/>
      <c r="E44" s="1444"/>
      <c r="F44" s="1445"/>
      <c r="J44" s="837"/>
      <c r="K44" s="837"/>
      <c r="L44" s="837"/>
      <c r="M44" s="837"/>
      <c r="N44" s="837"/>
      <c r="O44" s="837"/>
      <c r="P44" s="837"/>
      <c r="Q44" s="1443"/>
      <c r="R44" s="1443"/>
      <c r="S44" s="1446"/>
      <c r="T44" s="1446"/>
      <c r="U44" s="825"/>
      <c r="V44" s="1447"/>
      <c r="W44" s="824"/>
      <c r="X44" s="837"/>
      <c r="Y44" s="843"/>
      <c r="Z44" s="843"/>
      <c r="AA44" s="1448"/>
      <c r="AB44" s="1448"/>
      <c r="AC44" s="1452"/>
      <c r="AD44" s="1453"/>
      <c r="AE44" s="1454"/>
      <c r="AF44" s="1454"/>
      <c r="AG44" s="1454"/>
      <c r="AH44" s="1453"/>
      <c r="AI44" s="842"/>
      <c r="AJ44" s="1450"/>
      <c r="AK44" s="1452"/>
      <c r="AL44" s="1455"/>
      <c r="AM44" s="1455"/>
      <c r="AN44" s="1455"/>
      <c r="AO44" s="1456"/>
      <c r="AP44" s="1452"/>
      <c r="AQ44" s="1457"/>
      <c r="AR44" s="1458"/>
      <c r="AS44" s="1458"/>
      <c r="AT44" s="1453"/>
      <c r="AU44" s="842"/>
      <c r="AV44" s="1450"/>
      <c r="AW44" s="1452"/>
      <c r="AX44" s="1455"/>
      <c r="AY44" s="813"/>
      <c r="AZ44" s="1450"/>
      <c r="BB44" s="1448"/>
      <c r="BC44" s="866"/>
      <c r="BD44" s="1453"/>
      <c r="BE44" s="1459"/>
      <c r="BF44" s="1456"/>
      <c r="BG44" s="1453"/>
      <c r="BH44" s="1456"/>
      <c r="BI44" s="1459"/>
      <c r="BJ44" s="1453"/>
      <c r="BK44" s="1460"/>
      <c r="BL44" s="825"/>
      <c r="BM44" s="1446"/>
      <c r="BR44" s="1461"/>
      <c r="BS44" s="1462"/>
      <c r="BT44" s="1459"/>
      <c r="BU44" s="825"/>
      <c r="BV44" s="1443"/>
      <c r="BW44" s="1443"/>
      <c r="BX44" s="828"/>
      <c r="BY44" s="828"/>
      <c r="BZ44" s="865"/>
      <c r="CA44" s="1449"/>
      <c r="CB44" s="828"/>
      <c r="CD44" s="1450"/>
      <c r="CE44" s="1451"/>
      <c r="CF44" s="865"/>
    </row>
    <row r="45" spans="1:115" s="719" customFormat="1" ht="60.75" customHeight="1" x14ac:dyDescent="0.2">
      <c r="A45" s="865"/>
      <c r="B45" s="848"/>
      <c r="C45" s="865"/>
      <c r="D45" s="1443"/>
      <c r="E45" s="1444"/>
      <c r="F45" s="1445"/>
      <c r="J45" s="837"/>
      <c r="K45" s="837"/>
      <c r="L45" s="837"/>
      <c r="M45" s="837"/>
      <c r="N45" s="837"/>
      <c r="O45" s="837"/>
      <c r="P45" s="837"/>
      <c r="Q45" s="1443"/>
      <c r="R45" s="1443"/>
      <c r="S45" s="1446"/>
      <c r="T45" s="1446"/>
      <c r="U45" s="825"/>
      <c r="V45" s="1447"/>
      <c r="W45" s="824"/>
      <c r="X45" s="837"/>
      <c r="Y45" s="843"/>
      <c r="Z45" s="843"/>
      <c r="AA45" s="1448"/>
      <c r="AB45" s="1448"/>
      <c r="AC45" s="1452"/>
      <c r="AD45" s="1453"/>
      <c r="AE45" s="1454"/>
      <c r="AF45" s="1454"/>
      <c r="AG45" s="1454"/>
      <c r="AH45" s="1453"/>
      <c r="AI45" s="842"/>
      <c r="AJ45" s="1450"/>
      <c r="AK45" s="1452"/>
      <c r="AL45" s="1455"/>
      <c r="AM45" s="1455"/>
      <c r="AN45" s="1455"/>
      <c r="AO45" s="1456"/>
      <c r="AP45" s="1452"/>
      <c r="AQ45" s="1457"/>
      <c r="AR45" s="1458"/>
      <c r="AS45" s="1458"/>
      <c r="AT45" s="1453"/>
      <c r="AU45" s="842"/>
      <c r="AV45" s="1450"/>
      <c r="AW45" s="1452"/>
      <c r="AX45" s="1455"/>
      <c r="AY45" s="813"/>
      <c r="AZ45" s="1450"/>
      <c r="BB45" s="1448"/>
      <c r="BC45" s="866"/>
      <c r="BD45" s="1453"/>
      <c r="BE45" s="1459"/>
      <c r="BF45" s="1456"/>
      <c r="BG45" s="1453"/>
      <c r="BH45" s="1456"/>
      <c r="BI45" s="1459"/>
      <c r="BJ45" s="1453"/>
      <c r="BK45" s="1460"/>
      <c r="BL45" s="825"/>
      <c r="BM45" s="1446"/>
      <c r="BR45" s="1461"/>
      <c r="BS45" s="1462"/>
      <c r="BT45" s="1459"/>
      <c r="BU45" s="825"/>
      <c r="BV45" s="1443"/>
      <c r="BW45" s="1443"/>
      <c r="BX45" s="828"/>
      <c r="BY45" s="828"/>
      <c r="BZ45" s="865"/>
      <c r="CA45" s="1449"/>
      <c r="CB45" s="828"/>
      <c r="CD45" s="1450"/>
      <c r="CE45" s="1451"/>
      <c r="CF45" s="865"/>
    </row>
    <row r="46" spans="1:115" s="719" customFormat="1" ht="77.25" customHeight="1" x14ac:dyDescent="0.2">
      <c r="A46" s="865"/>
      <c r="B46" s="848"/>
      <c r="C46" s="865"/>
      <c r="D46" s="1443"/>
      <c r="E46" s="1444"/>
      <c r="F46" s="1445"/>
      <c r="J46" s="837"/>
      <c r="K46" s="837"/>
      <c r="L46" s="837"/>
      <c r="M46" s="837"/>
      <c r="N46" s="837"/>
      <c r="O46" s="837"/>
      <c r="P46" s="837"/>
      <c r="Q46" s="1443"/>
      <c r="R46" s="1443"/>
      <c r="S46" s="1446"/>
      <c r="T46" s="1446"/>
      <c r="U46" s="825"/>
      <c r="V46" s="1447"/>
      <c r="W46" s="824"/>
      <c r="X46" s="837"/>
      <c r="Y46" s="843"/>
      <c r="Z46" s="843"/>
      <c r="AA46" s="1448"/>
      <c r="AB46" s="1448"/>
      <c r="AC46" s="1452"/>
      <c r="AD46" s="1453"/>
      <c r="AE46" s="1454"/>
      <c r="AF46" s="1454"/>
      <c r="AG46" s="1454"/>
      <c r="AH46" s="1453"/>
      <c r="AI46" s="842"/>
      <c r="AJ46" s="1450"/>
      <c r="AK46" s="1452"/>
      <c r="AL46" s="1455"/>
      <c r="AM46" s="1455"/>
      <c r="AN46" s="1455"/>
      <c r="AO46" s="1456"/>
      <c r="AP46" s="1452"/>
      <c r="AQ46" s="1457"/>
      <c r="AR46" s="1458"/>
      <c r="AS46" s="1458"/>
      <c r="AT46" s="1453"/>
      <c r="AU46" s="842"/>
      <c r="AV46" s="1450"/>
      <c r="AW46" s="1452"/>
      <c r="AX46" s="1455"/>
      <c r="AY46" s="813"/>
      <c r="AZ46" s="1450"/>
      <c r="BB46" s="1448"/>
      <c r="BC46" s="866"/>
      <c r="BD46" s="1453"/>
      <c r="BE46" s="1459"/>
      <c r="BF46" s="1456"/>
      <c r="BG46" s="1453"/>
      <c r="BH46" s="1456"/>
      <c r="BI46" s="1459"/>
      <c r="BJ46" s="1453"/>
      <c r="BK46" s="1460"/>
      <c r="BL46" s="825"/>
      <c r="BM46" s="1446"/>
      <c r="BR46" s="1461"/>
      <c r="BS46" s="1462"/>
      <c r="BT46" s="1459"/>
      <c r="BU46" s="825"/>
      <c r="BV46" s="1443"/>
      <c r="BW46" s="1443"/>
      <c r="BX46" s="828"/>
      <c r="BY46" s="828"/>
      <c r="BZ46" s="865"/>
      <c r="CA46" s="1449"/>
      <c r="CB46" s="828"/>
      <c r="CD46" s="1450"/>
      <c r="CE46" s="1451"/>
      <c r="CF46" s="865"/>
    </row>
    <row r="47" spans="1:115" s="1482" customFormat="1" ht="16.5" customHeight="1" x14ac:dyDescent="0.2">
      <c r="A47" s="1463"/>
      <c r="B47" s="1464"/>
      <c r="C47" s="1465"/>
      <c r="D47" s="1466"/>
      <c r="E47" s="1466"/>
      <c r="F47" s="1466"/>
      <c r="G47" s="1466"/>
      <c r="H47" s="1466"/>
      <c r="I47" s="1466"/>
      <c r="J47" s="1466"/>
      <c r="K47" s="1466"/>
      <c r="L47" s="1466"/>
      <c r="M47" s="1466"/>
      <c r="N47" s="1466"/>
      <c r="O47" s="1466"/>
      <c r="P47" s="1466"/>
      <c r="Q47" s="1466"/>
      <c r="R47" s="1466"/>
      <c r="S47" s="1467"/>
      <c r="T47" s="1467"/>
      <c r="U47" s="1467"/>
      <c r="V47" s="1468"/>
      <c r="W47" s="1469"/>
      <c r="X47" s="1468"/>
      <c r="Y47" s="1470"/>
      <c r="Z47" s="1470"/>
      <c r="AA47" s="1471"/>
      <c r="AB47" s="1471"/>
      <c r="AC47" s="1472"/>
      <c r="AD47" s="1471"/>
      <c r="AE47" s="1471"/>
      <c r="AF47" s="1471"/>
      <c r="AG47" s="1471"/>
      <c r="AH47" s="1471"/>
      <c r="AI47" s="1472"/>
      <c r="AJ47" s="1471"/>
      <c r="AK47" s="1472"/>
      <c r="AL47" s="1471"/>
      <c r="AM47" s="1471"/>
      <c r="AN47" s="1471"/>
      <c r="AO47" s="1471"/>
      <c r="AP47" s="1472"/>
      <c r="AQ47" s="1472"/>
      <c r="AR47" s="1473"/>
      <c r="AS47" s="1471"/>
      <c r="AT47" s="1471"/>
      <c r="AU47" s="1472"/>
      <c r="AV47" s="1471"/>
      <c r="AW47" s="1472"/>
      <c r="AX47" s="1471"/>
      <c r="AY47" s="1471"/>
      <c r="AZ47" s="1471"/>
      <c r="BA47" s="1471"/>
      <c r="BB47" s="1471"/>
      <c r="BC47" s="1471"/>
      <c r="BD47" s="1471"/>
      <c r="BE47" s="1471"/>
      <c r="BF47" s="1471"/>
      <c r="BG47" s="1471"/>
      <c r="BH47" s="1471"/>
      <c r="BI47" s="1471"/>
      <c r="BJ47" s="1471"/>
      <c r="BK47" s="1471"/>
      <c r="BL47" s="1471"/>
      <c r="BM47" s="1471"/>
      <c r="BN47" s="1471"/>
      <c r="BO47" s="1471"/>
      <c r="BP47" s="1471"/>
      <c r="BQ47" s="1471"/>
      <c r="BR47" s="1471"/>
      <c r="BS47" s="1471"/>
      <c r="BT47" s="1471"/>
      <c r="BU47" s="1474"/>
      <c r="BV47" s="1475"/>
      <c r="BW47" s="1476"/>
      <c r="BX47" s="1463"/>
      <c r="BY47" s="1477"/>
      <c r="BZ47" s="1463"/>
      <c r="CA47" s="1478"/>
      <c r="CB47" s="1479"/>
      <c r="CC47" s="1480"/>
      <c r="CD47" s="1481"/>
      <c r="CE47" s="1463"/>
      <c r="CF47" s="1463"/>
      <c r="CW47" s="1483"/>
      <c r="CX47" s="1480"/>
      <c r="CY47" s="1484"/>
      <c r="CZ47" s="1485"/>
      <c r="DA47" s="1486"/>
      <c r="DB47" s="1487"/>
      <c r="DC47" s="1488"/>
      <c r="DD47" s="1486"/>
      <c r="DE47" s="1466"/>
      <c r="DF47" s="1470"/>
      <c r="DG47" s="1470"/>
      <c r="DH47" s="1488"/>
      <c r="DI47" s="1489"/>
      <c r="DJ47" s="1490"/>
    </row>
    <row r="48" spans="1:115" s="1511" customFormat="1" ht="18.75" customHeight="1" x14ac:dyDescent="0.2">
      <c r="A48" s="1491"/>
      <c r="B48" s="1492" t="s">
        <v>362</v>
      </c>
      <c r="C48" s="1492"/>
      <c r="D48" s="1493"/>
      <c r="E48" s="1494" t="s">
        <v>533</v>
      </c>
      <c r="F48" s="1495"/>
      <c r="G48" s="1496"/>
      <c r="H48" s="1496"/>
      <c r="I48" s="1496"/>
      <c r="J48" s="1491"/>
      <c r="K48" s="1491"/>
      <c r="L48" s="1491"/>
      <c r="M48" s="1491"/>
      <c r="N48" s="1491"/>
      <c r="O48" s="1491"/>
      <c r="P48" s="1491"/>
      <c r="Q48" s="1493"/>
      <c r="R48" s="1497"/>
      <c r="S48" s="1498"/>
      <c r="T48" s="1499"/>
      <c r="U48" s="1499"/>
      <c r="V48" s="1499"/>
      <c r="W48" s="1500"/>
      <c r="X48" s="1501"/>
      <c r="Y48" s="1498"/>
      <c r="Z48" s="1501"/>
      <c r="AA48" s="1501"/>
      <c r="AB48" s="1502"/>
      <c r="AC48" s="1498"/>
      <c r="AD48" s="1498"/>
      <c r="AE48" s="1500"/>
      <c r="AF48" s="1503"/>
      <c r="AG48" s="1498"/>
      <c r="AH48" s="1504"/>
      <c r="AI48" s="1505"/>
      <c r="AJ48" s="1506"/>
      <c r="AK48" s="1507"/>
      <c r="AL48" s="1508"/>
      <c r="AM48" s="1509"/>
      <c r="AN48" s="1510"/>
      <c r="AP48" s="1512"/>
      <c r="AQ48" s="1513"/>
      <c r="AR48" s="1503"/>
      <c r="AS48" s="1498"/>
      <c r="AT48" s="1514"/>
      <c r="AU48" s="1515"/>
      <c r="AV48" s="1516"/>
      <c r="AW48" s="1513"/>
      <c r="AX48" s="1517"/>
      <c r="AY48" s="1518"/>
      <c r="AZ48" s="1519"/>
      <c r="BA48" s="1491"/>
      <c r="BB48" s="1520"/>
      <c r="BC48" s="1521"/>
      <c r="BD48" s="1522"/>
      <c r="BE48" s="1520"/>
      <c r="BF48" s="1523"/>
      <c r="BG48" s="1524"/>
      <c r="BH48" s="1522"/>
      <c r="BI48" s="1522"/>
      <c r="BJ48" s="1525"/>
      <c r="BQ48" s="1520"/>
      <c r="BR48" s="1526"/>
      <c r="BS48" s="1522"/>
      <c r="BV48" s="1522"/>
      <c r="BW48" s="1492"/>
      <c r="BX48" s="1491"/>
      <c r="BY48" s="1498"/>
      <c r="BZ48" s="1527"/>
      <c r="CA48" s="1491"/>
      <c r="CB48" s="1528"/>
      <c r="CC48" s="1528"/>
      <c r="CD48" s="1529"/>
      <c r="CE48" s="1530"/>
      <c r="CF48" s="1491"/>
      <c r="CG48" s="1491"/>
      <c r="CX48" s="1531"/>
      <c r="CY48" s="1529"/>
      <c r="CZ48" s="1519"/>
      <c r="DA48" s="1532"/>
      <c r="DB48" s="1520"/>
      <c r="DC48" s="1521"/>
      <c r="DD48" s="1522"/>
      <c r="DE48" s="1520"/>
      <c r="DF48" s="1523"/>
      <c r="DG48" s="1501"/>
      <c r="DH48" s="1501"/>
      <c r="DI48" s="1522"/>
      <c r="DJ48" s="1533"/>
      <c r="DK48" s="1525"/>
    </row>
    <row r="49" spans="1:174" s="1434" customFormat="1" ht="27" customHeight="1" x14ac:dyDescent="0.2">
      <c r="A49" s="1399">
        <v>30</v>
      </c>
      <c r="B49" s="1400">
        <v>1</v>
      </c>
      <c r="C49" s="1399">
        <v>14</v>
      </c>
      <c r="D49" s="1399" t="str">
        <f>IF(F49="Nam","Ông","Bà")</f>
        <v>Ông</v>
      </c>
      <c r="E49" s="1401" t="s">
        <v>292</v>
      </c>
      <c r="F49" s="1402" t="s">
        <v>379</v>
      </c>
      <c r="G49" s="1403" t="s">
        <v>373</v>
      </c>
      <c r="H49" s="1403" t="s">
        <v>360</v>
      </c>
      <c r="I49" s="1403">
        <v>8</v>
      </c>
      <c r="J49" s="720" t="s">
        <v>360</v>
      </c>
      <c r="K49" s="720">
        <v>1980</v>
      </c>
      <c r="L49" s="720"/>
      <c r="M49" s="720" t="s">
        <v>457</v>
      </c>
      <c r="N49" s="720"/>
      <c r="O49" s="720" t="e">
        <f>IF(AND((Q49+0)&gt;0.3,(Q49+0)&lt;1.5),"CVụ","- -")</f>
        <v>#N/A</v>
      </c>
      <c r="P49" s="720"/>
      <c r="Q49" s="1401" t="e">
        <f>VLOOKUP(P49,'[4]- DLiêu Gốc -'!$C$2:$H$115,2,0)</f>
        <v>#N/A</v>
      </c>
      <c r="R49" s="1404" t="s">
        <v>366</v>
      </c>
      <c r="S49" s="722" t="s">
        <v>117</v>
      </c>
      <c r="T49" s="1405" t="str">
        <f>VLOOKUP(Y49,'[4]- DLiêu Gốc -'!$C$2:$H$60,5,0)</f>
        <v>A1</v>
      </c>
      <c r="U49" s="1405" t="str">
        <f>VLOOKUP(Y49,'[4]- DLiêu Gốc -'!$C$2:$H$60,6,0)</f>
        <v>- - -</v>
      </c>
      <c r="V49" s="1405" t="s">
        <v>425</v>
      </c>
      <c r="W49" s="1406" t="str">
        <f>IF(OR(Y49="Kỹ thuật viên đánh máy",Y49="Nhân viên đánh máy",Y49="Nhân viên kỹ thuật",Y49="Nhân viên văn thư",Y49="Nhân viên phục vụ",Y49="Lái xe cơ quan",Y49="Nhân viên bảo vệ"),"Nhân viên",Y49)</f>
        <v>Chuyên viên</v>
      </c>
      <c r="X49" s="761" t="str">
        <f>IF(W49="Nhân viên","01.005",Z49)</f>
        <v>01.003</v>
      </c>
      <c r="Y49" s="722" t="s">
        <v>340</v>
      </c>
      <c r="Z49" s="761" t="str">
        <f>VLOOKUP(Y49,'[4]- DLiêu Gốc -'!$C$1:$H$133,2,0)</f>
        <v>01.003</v>
      </c>
      <c r="AA49" s="761" t="e">
        <f>IF(OR(AND(BB49=36,BA49=3),AND(BB49=24,BA49=2),AND(BB49=12,BA49=1)),"Đến $",IF(OR(AND(BB49&gt;36,BA49=3),AND(BB49&gt;24,BA49=2),AND(BB49&gt;12,BA49=1)),"Dừng $","Lương"))</f>
        <v>#REF!</v>
      </c>
      <c r="AB49" s="1407">
        <v>5</v>
      </c>
      <c r="AC49" s="756" t="str">
        <f>IF(AD49&gt;0,"/")</f>
        <v>/</v>
      </c>
      <c r="AD49" s="756">
        <f>IF(OR(BF49=0.18,BF49=0.2),12,IF(BF49=0.31,10,IF(BF49=0.33,9,IF(BF49=0.34,8,IF(BF49=0.36,6)))))</f>
        <v>9</v>
      </c>
      <c r="AE49" s="1408">
        <f>BE49+(AB49-1)*BF49</f>
        <v>3.66</v>
      </c>
      <c r="AF49" s="1409"/>
      <c r="AG49" s="722"/>
      <c r="AH49" s="1410" t="s">
        <v>342</v>
      </c>
      <c r="AI49" s="727" t="s">
        <v>360</v>
      </c>
      <c r="AJ49" s="1442" t="s">
        <v>343</v>
      </c>
      <c r="AK49" s="1412" t="s">
        <v>360</v>
      </c>
      <c r="AL49" s="1413">
        <v>2015</v>
      </c>
      <c r="AM49" s="1414"/>
      <c r="AN49" s="1415"/>
      <c r="AO49" s="1416">
        <f>AB49+1</f>
        <v>6</v>
      </c>
      <c r="AP49" s="1417" t="str">
        <f>IF(AD49=AB49,"%",IF(AD49&gt;AB49,"/"))</f>
        <v>/</v>
      </c>
      <c r="AQ49" s="1418">
        <f>IF(AND(AD49=AB49,AO49=4),5,IF(AND(AD49=AB49,AO49&gt;4),AO49+1,IF(AD49&gt;AB49,AD49)))</f>
        <v>9</v>
      </c>
      <c r="AR49" s="1419">
        <f>IF(AD49=AB49,"%",IF(AD49&gt;AB49,AE49+BF49))</f>
        <v>3.99</v>
      </c>
      <c r="AS49" s="722"/>
      <c r="AT49" s="1420" t="s">
        <v>342</v>
      </c>
      <c r="AU49" s="1421" t="s">
        <v>360</v>
      </c>
      <c r="AV49" s="1411" t="s">
        <v>343</v>
      </c>
      <c r="AW49" s="1418" t="s">
        <v>360</v>
      </c>
      <c r="AX49" s="1422">
        <v>2018</v>
      </c>
      <c r="AY49" s="1423" t="s">
        <v>418</v>
      </c>
      <c r="AZ49" s="1414"/>
      <c r="BA49" s="1424">
        <f>IF(AND(AD49&gt;AB49,OR(BF49=0.18,BF49=0.2)),2,IF(AND(AD49&gt;AB49,OR(BF49=0.31,BF49=0.33,BF49=0.34,BF49=0.36)),3,IF(AD49=AB49,1)))</f>
        <v>3</v>
      </c>
      <c r="BB49" s="1425" t="e">
        <f>12*($AA$2-#REF!)+($AA$3-AV49)-BC49</f>
        <v>#REF!</v>
      </c>
      <c r="BC49" s="1426"/>
      <c r="BD49" s="1426"/>
      <c r="BE49" s="1427">
        <f>VLOOKUP(Y49,'[4]- DLiêu Gốc -'!$C$1:$F$60,3,0)</f>
        <v>2.34</v>
      </c>
      <c r="BF49" s="1428">
        <f>VLOOKUP(Y49,'[4]- DLiêu Gốc -'!$C$1:$F$60,4,0)</f>
        <v>0.33</v>
      </c>
      <c r="BG49" s="1429" t="str">
        <f>IF(AND(BH49&gt;3,BZ49=12),"Đến %",IF(AND(BH49&gt;3,BZ49&gt;12,BZ49&lt;120),"Dừng %",IF(AND(BH49&gt;3,BZ49&lt;12),"PCTN","o-o-o")))</f>
        <v>o-o-o</v>
      </c>
      <c r="BH49" s="1430"/>
      <c r="BI49" s="1431"/>
      <c r="BJ49" s="1432"/>
      <c r="BK49" s="1431"/>
      <c r="BL49" s="1415"/>
      <c r="BM49" s="1396"/>
      <c r="BN49" s="1397"/>
      <c r="BO49" s="1428"/>
      <c r="BP49" s="1429"/>
      <c r="BQ49" s="1430"/>
      <c r="BR49" s="1431"/>
      <c r="BS49" s="1432"/>
      <c r="BT49" s="1431"/>
      <c r="BU49" s="1415"/>
      <c r="BV49" s="729"/>
      <c r="BW49" s="1414"/>
      <c r="BX49" s="1427"/>
      <c r="BY49" s="1427"/>
      <c r="BZ49" s="1415" t="str">
        <f>IF(BH49&gt;3,(($BG$2-BU49)*12+($BG$3-BS49)-BW49),"- - -")</f>
        <v>- - -</v>
      </c>
      <c r="CA49" s="1433" t="str">
        <f>IF(AND(CW49="Hưu",BH49&gt;3),12-(12*(DC49-BU49)+(DB49-BS49))-BW49,"- - -")</f>
        <v>- - -</v>
      </c>
      <c r="CB49" s="1425" t="str">
        <f>IF(OR(S49="Ban Tổ chức - Cán bộ",S49="Văn phòng Học viện",S49="Phó Giám đốc Thường trực Học viện",S49="Phó Giám đốc Học viện"),"Chánh Văn phòng Học viện, Trưởng Ban Tổ chức - Cán bộ",IF(OR(S49="Trung tâm Ngoại ngữ",S49="Trung tâm Tin học hành chính và Công nghệ thông tin",S49="Trung tâm Tin học - Thư viện",S49="Phân viện khu vực Tây Nguyên"),"Chánh Văn phòng Học viện, Trưởng Ban Tổ chức - Cán bộ, "&amp;CONCATENATE("Giám đốc ",S49),IF(S49="Tạp chí Quản lý nhà nước","Chánh Văn phòng Học viện, Trưởng Ban Tổ chức - Cán bộ, "&amp;CONCATENATE("Tổng Biên tập ",S49),IF(S49="Văn phòng Đảng uỷ Học viện","Chánh Văn phòng Học viện, Trưởng Ban Tổ chức - Cán bộ, "&amp;CONCATENATE("Chánh",S49),IF(S49="Viện Nghiên cứu Khoa học hành chính","Chánh Văn phòng Học viện, Trưởng Ban Tổ chức - Cán bộ, "&amp;CONCATENATE("Viện Trưởng ",S49),IF(OR(S49="Cơ sở Học viện Hành chính Quốc gia khu vực miền Trung",S49="Cơ sở Học viện Hành chính Quốc gia tại Thành phố Hồ Chí Minh"),"Chánh Văn phòng Học viện, Trưởng Ban Tổ chức - Cán bộ, "&amp;CONCATENATE("Thủ trưởng ",S49),"Chánh Văn phòng Học viện, Trưởng Ban Tổ chức - Cán bộ, "&amp;CONCATENATE("Trưởng ",S49)))))))</f>
        <v>Chánh Văn phòng Học viện, Trưởng Ban Tổ chức - Cán bộ, Trưởng Ban Đào tạo</v>
      </c>
      <c r="CC49" s="1425" t="str">
        <f>IF(S49="Cơ sở Học viện Hành chính khu vực miền Trung","B",IF(S49="Phân viện Khu vực Tây Nguyên","C",IF(S49="Cơ sở Học viện Hành chính tại thành phố Hồ Chí Minh","D","A")))</f>
        <v>A</v>
      </c>
      <c r="CD49" s="1399" t="e">
        <f>IF(AND(AO49&gt;0,AB49&lt;(AD49-1),CE49&gt;0,CE49&lt;13,OR(AND(CK49="Cùg Ng",($CD$2-CG49)&gt;BA49),CK49="- - -")),"Sớm TT","=&gt; s")</f>
        <v>#REF!</v>
      </c>
      <c r="CE49" s="1399" t="e">
        <f>IF(BA49=3,36-(12*($CD$2-#REF!)+(12-AV49)-BC49),IF(BA49=2,24-(12*($CD$2-#REF!)+(12-AV49)-BC49),"---"))</f>
        <v>#REF!</v>
      </c>
      <c r="CF49" s="1434" t="str">
        <f>IF(CG49&gt;1,"S","---")</f>
        <v>---</v>
      </c>
      <c r="CG49" s="1399"/>
      <c r="CI49" s="1399"/>
      <c r="CJ49" s="1414"/>
      <c r="CK49" s="1414" t="str">
        <f>IF(X49=CH49,"Cùg Ng","- - -")</f>
        <v>- - -</v>
      </c>
      <c r="CL49" s="1399" t="str">
        <f>IF(CN49&gt;2000,"NN","- - -")</f>
        <v>- - -</v>
      </c>
      <c r="CM49" s="1414"/>
      <c r="CN49" s="1414"/>
      <c r="CO49" s="1414"/>
      <c r="CP49" s="1414"/>
      <c r="CQ49" s="1399" t="str">
        <f>IF(CS49&gt;2000,"CN","- - -")</f>
        <v>- - -</v>
      </c>
      <c r="CR49" s="1414"/>
      <c r="CS49" s="1414"/>
      <c r="CT49" s="1435"/>
      <c r="CU49" s="1398"/>
      <c r="CV49" s="1434" t="str">
        <f>IF(AND(CW49="Hưu",AB49&lt;(AD49-1),DD49&gt;0,DD49&lt;18,OR(BH49&lt;4,AND(BH49&gt;3,OR(CA49&lt;3,CA49&gt;5)))),"Lg Sớm",IF(AND(CW49="Hưu",AB49&gt;(AD49-2),OR(BF49=0.33,BF49=0.34),OR(BH49&lt;4,AND(BH49&gt;3,OR(CA49&lt;3,CA49&gt;5)))),"Nâng Ngạch",IF(AND(CW49="Hưu",BA49=1,DD49&gt;2,DD49&lt;6,OR(BH49&lt;4,AND(BH49&gt;3,OR(CA49&lt;3,CA49&gt;5)))),"Nâng PcVK cùng QĐ",IF(AND(CW49="Hưu",BH49&gt;3,CA49&gt;2,CA49&lt;6,AB49&lt;(AD49-1),DD49&gt;17,OR(BA49&gt;1,AND(BA49=1,OR(DD49&lt;3,DD49&gt;5)))),"Nâng PcNG cùng QĐ",IF(AND(CW49="Hưu",AB49&lt;(AD49-1),DD49&gt;0,DD49&lt;18,BH49&gt;3,CA49&gt;2,CA49&lt;6),"Nâng Lg Sớm +(PcNG cùng QĐ)",IF(AND(CW49="Hưu",AB49&gt;(AD49-2),OR(BF49=0.33,BF49=0.34),BH49&gt;3,CA49&gt;2,CA49&lt;6),"Nâng Ngạch +(PcNG cùng QĐ)",IF(AND(CW49="Hưu",BA49=1,DD49&gt;2,DD49&lt;6,BH49&gt;3,CA49&gt;2,CA49&lt;6),"Nâng (PcVK +PcNG) cùng QĐ",("---"))))))))</f>
        <v>---</v>
      </c>
      <c r="CW49" s="1434" t="str">
        <f>IF(AND(DH49&gt;DG49,DH49&lt;(DG49+13)),"Hưu",IF(AND(DH49&gt;(DG49+12),DH49&lt;1000),"Quá","/-/ /-/"))</f>
        <v>/-/ /-/</v>
      </c>
      <c r="CX49" s="1434">
        <f>IF((I49+0)&lt;12,(I49+0)+1,IF((I49+0)=12,1,IF((I49+0)&gt;12,(I49+0)-12)))</f>
        <v>9</v>
      </c>
      <c r="CY49" s="1434">
        <f>IF(OR((I49+0)=12,(I49+0)&gt;12),K49+DG49/12+1,IF(AND((I49+0)&gt;0,(I49+0)&lt;12),K49+DG49/12,"---"))</f>
        <v>2040</v>
      </c>
      <c r="CZ49" s="1434">
        <f>IF(AND(CX49&gt;3,CX49&lt;13),CX49-3,IF(CX49&lt;4,CX49-3+12))</f>
        <v>6</v>
      </c>
      <c r="DA49" s="1434">
        <f>IF(CZ49&lt;CX49,CY49,IF(CZ49&gt;CX49,CY49-1))</f>
        <v>2040</v>
      </c>
      <c r="DB49" s="1436">
        <f>IF(CX49&gt;6,CX49-6,IF(CX49=6,12,IF(CX49&lt;6,CX49+6)))</f>
        <v>3</v>
      </c>
      <c r="DC49" s="1437">
        <f>IF(CX49&gt;6,CY49,IF(CX49&lt;7,CY49-1))</f>
        <v>2040</v>
      </c>
      <c r="DD49" s="1437" t="str">
        <f>IF(AND(CW49="Hưu",BA49=3),36+BC49-(12*(DC49-#REF!)+(DB49-AV49)),IF(AND(CW49="Hưu",BA49=2),24+BC49-(12*(DC49-#REF!)+(DB49-AV49)),IF(AND(CW49="Hưu",BA49=1),12+BC49-(12*(DC49-#REF!)+(DB49-AV49)),"- - -")))</f>
        <v>- - -</v>
      </c>
      <c r="DE49" s="1425" t="str">
        <f>IF(DF49&gt;0,"K.Dài",". .")</f>
        <v>. .</v>
      </c>
      <c r="DF49" s="1425"/>
      <c r="DG49" s="1425">
        <f>IF(F49="Nam",(60+DF49)*12,IF(F49="Nữ",(55+DF49)*12,))</f>
        <v>720</v>
      </c>
      <c r="DH49" s="1425">
        <f>12*($CW$4-K49)+(12-I49)</f>
        <v>-23756</v>
      </c>
      <c r="DI49" s="1425">
        <f>$DM$4-K49</f>
        <v>-1980</v>
      </c>
      <c r="DJ49" s="1425" t="str">
        <f>IF(AND(DI49&lt;35,F49="Nam"),"Nam dưới 35",IF(AND(DI49&lt;30,F49="Nữ"),"Nữ dưới 30",IF(AND(DI49&gt;34,DI49&lt;46,F49="Nam"),"Nam từ 35 - 45",IF(AND(DI49&gt;29,DI49&lt;41,F49="Nữ"),"Nữ từ 30 - 40",IF(AND(DI49&gt;45,DI49&lt;56,F49="Nam"),"Nam trên 45 - 55",IF(AND(DI49&gt;40,DI49&lt;51,F49="Nữ"),"Nữ trên 40 - 50",IF(AND(DI49&gt;55,F49="Nam"),"Nam trên 55","Nữ trên 50")))))))</f>
        <v>Nam dưới 35</v>
      </c>
      <c r="DK49" s="1427"/>
      <c r="DL49" s="1414"/>
      <c r="DM49" s="1399" t="str">
        <f>IF(DI49&lt;31,"Đến 30",IF(AND(DI49&gt;30,DI49&lt;46),"31 - 45",IF(AND(DI49&gt;45,DI49&lt;70),"Trên 45")))</f>
        <v>Đến 30</v>
      </c>
      <c r="DN49" s="1399" t="str">
        <f>IF(DO49&gt;0,"TD","--")</f>
        <v>TD</v>
      </c>
      <c r="DO49" s="1399">
        <v>2009</v>
      </c>
      <c r="DP49" s="1399"/>
      <c r="DQ49" s="1414"/>
      <c r="DR49" s="1414"/>
      <c r="DS49" s="1438"/>
      <c r="DT49" s="1439"/>
      <c r="DU49" s="1415"/>
      <c r="DV49" s="1438"/>
      <c r="DW49" s="1410"/>
      <c r="DX49" s="1440" t="s">
        <v>366</v>
      </c>
      <c r="DY49" s="1440" t="s">
        <v>342</v>
      </c>
      <c r="DZ49" s="1440" t="s">
        <v>360</v>
      </c>
      <c r="EA49" s="1441" t="s">
        <v>343</v>
      </c>
      <c r="EB49" s="1440" t="s">
        <v>360</v>
      </c>
      <c r="EC49" s="1399" t="s">
        <v>380</v>
      </c>
      <c r="ED49" s="1410">
        <f>(DY49+0)-(EF49+0)</f>
        <v>0</v>
      </c>
      <c r="EE49" s="1440" t="str">
        <f>IF(ED49&gt;0,"Sửa","- - -")</f>
        <v>- - -</v>
      </c>
      <c r="EF49" s="1440" t="s">
        <v>342</v>
      </c>
      <c r="EG49" s="1440" t="s">
        <v>360</v>
      </c>
      <c r="EH49" s="1441" t="s">
        <v>343</v>
      </c>
      <c r="EI49" s="1399" t="s">
        <v>360</v>
      </c>
      <c r="EJ49" s="1414" t="s">
        <v>380</v>
      </c>
      <c r="EK49" s="1436"/>
      <c r="EL49" s="1415" t="str">
        <f>IF(AND(BF49&gt;0.34,AO49=1,OR(BE49=6.2,BE49=5.75)),((BE49-EK49)-2*0.34),IF(AND(BF49&gt;0.33,AO49=1,OR(BE49=4.4,BE49=4)),((BE49-EK49)-2*0.33),"- - -"))</f>
        <v>- - -</v>
      </c>
      <c r="EM49" s="1434" t="str">
        <f>IF(CW49="Hưu",12*(DC49-#REF!)+(DB49-AV49),"---")</f>
        <v>---</v>
      </c>
    </row>
    <row r="50" spans="1:174" s="1511" customFormat="1" ht="18.75" customHeight="1" x14ac:dyDescent="0.2">
      <c r="A50" s="1491"/>
      <c r="B50" s="1492" t="s">
        <v>306</v>
      </c>
      <c r="C50" s="1492"/>
      <c r="D50" s="1493"/>
      <c r="E50" s="1494" t="s">
        <v>534</v>
      </c>
      <c r="F50" s="1495"/>
      <c r="G50" s="1496"/>
      <c r="H50" s="1496"/>
      <c r="I50" s="1496"/>
      <c r="J50" s="1491"/>
      <c r="K50" s="1491"/>
      <c r="L50" s="1491"/>
      <c r="M50" s="1491"/>
      <c r="N50" s="1491"/>
      <c r="O50" s="1491"/>
      <c r="P50" s="1491"/>
      <c r="Q50" s="1493"/>
      <c r="R50" s="1497"/>
      <c r="S50" s="1498"/>
      <c r="T50" s="1499"/>
      <c r="U50" s="1499"/>
      <c r="V50" s="1499"/>
      <c r="W50" s="1500"/>
      <c r="X50" s="1501"/>
      <c r="Y50" s="1498"/>
      <c r="Z50" s="1501"/>
      <c r="AA50" s="1501"/>
      <c r="AB50" s="1502"/>
      <c r="AC50" s="1498"/>
      <c r="AD50" s="1498"/>
      <c r="AE50" s="1500"/>
      <c r="AF50" s="1503"/>
      <c r="AG50" s="1498"/>
      <c r="AH50" s="1504"/>
      <c r="AI50" s="1505"/>
      <c r="AJ50" s="1506"/>
      <c r="AK50" s="1507"/>
      <c r="AL50" s="1508"/>
      <c r="AM50" s="1509"/>
      <c r="AN50" s="1510"/>
      <c r="AP50" s="1512"/>
      <c r="AQ50" s="1513"/>
      <c r="AR50" s="1503"/>
      <c r="AS50" s="1498"/>
      <c r="AT50" s="1514"/>
      <c r="AU50" s="1515"/>
      <c r="AV50" s="1516"/>
      <c r="AW50" s="1513"/>
      <c r="AX50" s="1517"/>
      <c r="AY50" s="1518"/>
      <c r="AZ50" s="1519"/>
      <c r="BA50" s="1491"/>
      <c r="BB50" s="1520"/>
      <c r="BC50" s="1521"/>
      <c r="BD50" s="1522"/>
      <c r="BE50" s="1520"/>
      <c r="BF50" s="1523"/>
      <c r="BG50" s="1524"/>
      <c r="BH50" s="1522"/>
      <c r="BI50" s="1522"/>
      <c r="BJ50" s="1525"/>
      <c r="BQ50" s="1520"/>
      <c r="BR50" s="1526"/>
      <c r="BS50" s="1522"/>
      <c r="BV50" s="1522"/>
      <c r="BW50" s="1492"/>
      <c r="BX50" s="1491"/>
      <c r="BY50" s="1498"/>
      <c r="BZ50" s="1527"/>
      <c r="CA50" s="1491"/>
      <c r="CB50" s="1528"/>
      <c r="CC50" s="1528"/>
      <c r="CD50" s="1529"/>
      <c r="CE50" s="1530"/>
      <c r="CF50" s="1491"/>
      <c r="CG50" s="1491"/>
      <c r="CX50" s="1531"/>
      <c r="CY50" s="1529"/>
      <c r="CZ50" s="1519"/>
      <c r="DA50" s="1532"/>
      <c r="DB50" s="1520"/>
      <c r="DC50" s="1521"/>
      <c r="DD50" s="1522"/>
      <c r="DE50" s="1520"/>
      <c r="DF50" s="1523"/>
      <c r="DG50" s="1501"/>
      <c r="DH50" s="1501"/>
      <c r="DI50" s="1522"/>
      <c r="DJ50" s="1533"/>
      <c r="DK50" s="1525"/>
    </row>
    <row r="51" spans="1:174" s="1511" customFormat="1" ht="32.25" customHeight="1" x14ac:dyDescent="0.2">
      <c r="A51" s="1491">
        <v>132</v>
      </c>
      <c r="B51" s="1400">
        <v>1</v>
      </c>
      <c r="C51" s="1400">
        <v>128</v>
      </c>
      <c r="D51" s="2154" t="str">
        <f>IF(F51="Nam","Ông","Bà")</f>
        <v>Bà</v>
      </c>
      <c r="E51" s="2154" t="s">
        <v>75</v>
      </c>
      <c r="F51" s="2155" t="s">
        <v>381</v>
      </c>
      <c r="G51" s="2156" t="s">
        <v>282</v>
      </c>
      <c r="H51" s="2156" t="s">
        <v>360</v>
      </c>
      <c r="I51" s="2156" t="s">
        <v>345</v>
      </c>
      <c r="J51" s="2157" t="s">
        <v>360</v>
      </c>
      <c r="K51" s="2157" t="s">
        <v>322</v>
      </c>
      <c r="L51" s="2157"/>
      <c r="M51" s="2157" t="s">
        <v>457</v>
      </c>
      <c r="N51" s="2157"/>
      <c r="O51" s="2157"/>
      <c r="P51" s="2157"/>
      <c r="Q51" s="2154" t="e">
        <f>VLOOKUP(P51,'[4]- DLiêu Gốc -'!$C$2:$H$133,2,0)</f>
        <v>#N/A</v>
      </c>
      <c r="R51" s="2158" t="s">
        <v>139</v>
      </c>
      <c r="S51" s="2159" t="s">
        <v>149</v>
      </c>
      <c r="T51" s="2160" t="str">
        <f>VLOOKUP(Y51,'[4]- DLiêu Gốc -'!$C$2:$H$60,5,0)</f>
        <v>A1</v>
      </c>
      <c r="U51" s="2160" t="str">
        <f>VLOOKUP(Y51,'[4]- DLiêu Gốc -'!$C$2:$H$60,6,0)</f>
        <v>- - -</v>
      </c>
      <c r="V51" s="2160" t="s">
        <v>425</v>
      </c>
      <c r="W51" s="2161" t="str">
        <f>IF(OR(Y51="Kỹ thuật viên đánh máy",Y51="Nhân viên đánh máy",Y51="Nhân viên kỹ thuật",Y51="Nhân viên văn thư",Y51="Nhân viên phục vụ",Y51="Lái xe cơ quan",Y51="Nhân viên bảo vệ"),"Nhân viên",Y51)</f>
        <v>Kế toán viên</v>
      </c>
      <c r="X51" s="2162" t="str">
        <f>IF(W51="Nhân viên","01.005",Z51)</f>
        <v>06.031</v>
      </c>
      <c r="Y51" s="2159" t="s">
        <v>341</v>
      </c>
      <c r="Z51" s="2162" t="str">
        <f>VLOOKUP(Y51,'[4]- DLiêu Gốc -'!$C$1:$H$133,2,0)</f>
        <v>06.031</v>
      </c>
      <c r="AA51" s="2162" t="str">
        <f>IF(OR(AND(AZ51=36,AY51=3),AND(AZ51=24,AY51=2),AND(AZ51=12,AY51=1)),"Đến $",IF(OR(AND(AZ51&gt;36,AY51=3),AND(AZ51&gt;24,AY51=2),AND(AZ51&gt;12,AY51=1)),"Dừng $","Lương"))</f>
        <v>Lương</v>
      </c>
      <c r="AB51" s="2163">
        <v>9</v>
      </c>
      <c r="AC51" s="2159" t="str">
        <f>IF(AD51&gt;0,"/")</f>
        <v>/</v>
      </c>
      <c r="AD51" s="2159">
        <f>IF(OR(BD51=0.18,BD51=0.2),12,IF(BD51=0.31,10,IF(BD51=0.33,9,IF(BD51=0.34,8,IF(BD51=0.36,6)))))</f>
        <v>9</v>
      </c>
      <c r="AE51" s="2161">
        <f>BC51+(AB51-1)*BD51</f>
        <v>4.9800000000000004</v>
      </c>
      <c r="AF51" s="2164">
        <v>5</v>
      </c>
      <c r="AG51" s="2159" t="str">
        <f>IF(AD51=AB51,"%",IF(AD51&gt;AB51,"/"))</f>
        <v>%</v>
      </c>
      <c r="AH51" s="2165" t="s">
        <v>342</v>
      </c>
      <c r="AI51" s="2166" t="s">
        <v>360</v>
      </c>
      <c r="AJ51" s="2167">
        <v>11</v>
      </c>
      <c r="AK51" s="2168" t="s">
        <v>360</v>
      </c>
      <c r="AL51" s="2169">
        <v>2016</v>
      </c>
      <c r="AM51" s="2170"/>
      <c r="AN51" s="2171"/>
      <c r="AO51" s="2172"/>
      <c r="AP51" s="2173"/>
      <c r="AQ51" s="2174"/>
      <c r="AR51" s="2164">
        <f>IF(AND(AD51=AB51,AF51=4),5,IF(AND(AD51=AB51,AF51&gt;4),AF51+1,IF(AD51&gt;AB51,AD51)))</f>
        <v>6</v>
      </c>
      <c r="AS51" s="2159" t="str">
        <f>IF(AD51=AB51,"%",IF(AD51&gt;AB51,AE51+BD51))</f>
        <v>%</v>
      </c>
      <c r="AT51" s="2175" t="s">
        <v>342</v>
      </c>
      <c r="AU51" s="2176" t="s">
        <v>360</v>
      </c>
      <c r="AV51" s="2177">
        <v>11</v>
      </c>
      <c r="AW51" s="2174" t="s">
        <v>360</v>
      </c>
      <c r="AX51" s="2178">
        <v>2017</v>
      </c>
      <c r="AY51" s="2179"/>
      <c r="AZ51" s="1519">
        <f>12*($AA$2-AV51)+($AA$4-AT51)-BA51</f>
        <v>-133</v>
      </c>
      <c r="BA51" s="1491"/>
      <c r="BB51" s="1520"/>
      <c r="BC51" s="1521">
        <f>VLOOKUP(Y51,'[4]- DLiêu Gốc -'!$C$1:$F$60,3,0)</f>
        <v>2.34</v>
      </c>
      <c r="BD51" s="1522">
        <f>VLOOKUP(Y51,'[4]- DLiêu Gốc -'!$C$1:$F$60,4,0)</f>
        <v>0.33</v>
      </c>
      <c r="BE51" s="1520"/>
      <c r="BF51" s="1523" t="e">
        <f>IF(AND(#REF!&gt;3,BQ51=12),"Đến %",IF(AND(#REF!&gt;3,BQ51&gt;12,BQ51&lt;120),"Dừng %",IF(AND(#REF!&gt;3,BQ51&lt;12),"PCTN","o-o-o")))</f>
        <v>#REF!</v>
      </c>
      <c r="BG51" s="1524"/>
      <c r="BH51" s="1522" t="e">
        <f>IF(#REF!&gt;3,#REF!+1,0)</f>
        <v>#REF!</v>
      </c>
      <c r="BI51" s="1522"/>
      <c r="BJ51" s="1525"/>
      <c r="BQ51" s="1520" t="e">
        <f>IF(#REF!&gt;3,(($BG$2-BL51)*12+($BG$4-BJ51)-BN51),"- - -")</f>
        <v>#REF!</v>
      </c>
      <c r="BR51" s="1526" t="e">
        <f>IF(AND(CP51="Hưu",#REF!&gt;3),12-(12*(CV51-BL51)+(CU51-BJ51))-BN51,"- - -")</f>
        <v>#REF!</v>
      </c>
      <c r="BS51" s="1522" t="str">
        <f>IF(BX51="công chức","CC",IF(BX51="viên chức","VC",IF(BX51="người lao động","NLĐ","- - -")))</f>
        <v>VC</v>
      </c>
      <c r="BV51" s="1522"/>
      <c r="BW51" s="1492"/>
      <c r="BX51" s="1491" t="s">
        <v>452</v>
      </c>
      <c r="BY51" s="1498" t="str">
        <f>IF(OR(S51="Ban Tổ chức - Cán bộ",S51="Văn phòng Học viện",S51="Phó Giám đốc Thường trực Học viện",S51="Phó Giám đốc Học viện"),"Chánh Văn phòng Học viện, Trưởng Ban Tổ chức - Cán bộ",IF(OR(S51="Trung tâm Ngoại ngữ",S51="Trung tâm Tin học hành chính và Công nghệ thông tin",S51="Trung tâm Tin học - Thư viện",S51="Phân viện khu vực Tây Nguyên"),"Chánh Văn phòng Học viện, Trưởng Ban Tổ chức - Cán bộ, "&amp;CONCATENATE("Giám đốc ",S51),IF(S51="Tạp chí Quản lý nhà nước","Chánh Văn phòng Học viện, Trưởng Ban Tổ chức - Cán bộ, "&amp;CONCATENATE("Tổng Biên tập ",S51),IF(S51="Văn phòng Đảng uỷ Học viện","Chánh Văn phòng Học viện, Trưởng Ban Tổ chức - Cán bộ, "&amp;CONCATENATE("Chánh",S51),IF(S51="Viện Nghiên cứu Khoa học hành chính","Chánh Văn phòng Học viện, Trưởng Ban Tổ chức - Cán bộ, "&amp;CONCATENATE("Viện Trưởng ",S51),IF(OR(S51="Cơ sở Học viện Hành chính Quốc gia khu vực miền Trung",S51="Cơ sở Học viện Hành chính Quốc gia tại Thành phố Hồ Chí Minh"),"Chánh Văn phòng Học viện, Trưởng Ban Tổ chức - Cán bộ, "&amp;CONCATENATE("Thủ trưởng ",S51),"Chánh Văn phòng Học viện, Trưởng Ban Tổ chức - Cán bộ, "&amp;CONCATENATE("Trưởng ",S51)))))))</f>
        <v>Chánh Văn phòng Học viện, Trưởng Ban Tổ chức - Cán bộ, Trưởng Khoa Đào tạo, Bồi dưỡng công chức và Tại chức</v>
      </c>
      <c r="BZ51" s="1527" t="str">
        <f>IF(S51="Cơ sở Học viện Hành chính khu vực miền Trung","B",IF(S51="Phân viện Khu vực Tây Nguyên","C",IF(S51="Cơ sở Học viện Hành chính tại thành phố Hồ Chí Minh","D","A")))</f>
        <v>A</v>
      </c>
      <c r="CA51" s="1491" t="e">
        <f>IF(AND(AF51&gt;0,AB51&lt;(AD51-1),#REF!&gt;0,#REF!&lt;13,OR(AND(CD51="Cùg Ng",($CA$2-#REF!)&gt;AY51),CD51="- - -")),"Sớm TT","=&gt; s")</f>
        <v>#REF!</v>
      </c>
      <c r="CB51" s="1528"/>
      <c r="CC51" s="1528"/>
      <c r="CD51" s="1529" t="e">
        <f>IF(X51=#REF!,"Cùg Ng","- - -")</f>
        <v>#REF!</v>
      </c>
      <c r="CE51" s="1530" t="str">
        <f>IF(CG51&gt;2000,"NN","- - -")</f>
        <v>- - -</v>
      </c>
      <c r="CF51" s="1491"/>
      <c r="CG51" s="1491"/>
      <c r="CJ51" s="1511" t="str">
        <f>IF(CL51&gt;2000,"CN","- - -")</f>
        <v>- - -</v>
      </c>
      <c r="CO51" s="1511" t="e">
        <f>IF(AND(CP51="Hưu",AB51&lt;(AD51-1),CW51&gt;0,CW51&lt;18,OR(#REF!&lt;4,AND(#REF!&gt;3,OR(BR51&lt;3,BR51&gt;5)))),"Lg Sớm",IF(AND(CP51="Hưu",AB51&gt;(AD51-2),OR(BD51=0.33,BD51=0.34),OR(#REF!&lt;4,AND(#REF!&gt;3,OR(BR51&lt;3,BR51&gt;5)))),"Nâng Ngạch",IF(AND(CP51="Hưu",AY51=1,CW51&gt;2,CW51&lt;6,OR(#REF!&lt;4,AND(#REF!&gt;3,OR(BR51&lt;3,BR51&gt;5)))),"Nâng PcVK cùng QĐ",IF(AND(CP51="Hưu",#REF!&gt;3,BR51&gt;2,BR51&lt;6,AB51&lt;(AD51-1),CW51&gt;17,OR(AY51&gt;1,AND(AY51=1,OR(CW51&lt;3,CW51&gt;5)))),"Nâng PcNG cùng QĐ",IF(AND(CP51="Hưu",AB51&lt;(AD51-1),CW51&gt;0,CW51&lt;18,#REF!&gt;3,BR51&gt;2,BR51&lt;6),"Nâng Lg Sớm +(PcNG cùng QĐ)",IF(AND(CP51="Hưu",AB51&gt;(AD51-2),OR(BD51=0.33,BD51=0.34),#REF!&gt;3,BR51&gt;2,BR51&lt;6),"Nâng Ngạch +(PcNG cùng QĐ)",IF(AND(CP51="Hưu",AY51=1,CW51&gt;2,CW51&lt;6,#REF!&gt;3,BR51&gt;2,BR51&lt;6),"Nâng (PcVK +PcNG) cùng QĐ",("---"))))))))</f>
        <v>#REF!</v>
      </c>
      <c r="CP51" s="1511" t="str">
        <f>IF(AND(DA51&gt;CZ51,DA51&lt;(CZ51+13)),"Hưu",IF(AND(DA51&gt;(CZ51+12),DA51&lt;1000),"Quá","/-/ /-/"))</f>
        <v>/-/ /-/</v>
      </c>
      <c r="CQ51" s="1511">
        <f>IF((I51+0)&lt;12,(I51+0)+1,IF((I51+0)=12,1,IF((I51+0)&gt;12,(I51+0)-12)))</f>
        <v>7</v>
      </c>
      <c r="CR51" s="1511">
        <f>IF(OR((I51+0)=12,(I51+0)&gt;12),K51+CZ51/12+1,IF(AND((I51+0)&gt;0,(I51+0)&lt;12),K51+CZ51/12,"---"))</f>
        <v>2020</v>
      </c>
      <c r="CS51" s="1511">
        <f>IF(AND(CQ51&gt;3,CQ51&lt;13),CQ51-3,IF(CQ51&lt;4,CQ51-3+12))</f>
        <v>4</v>
      </c>
      <c r="CT51" s="1511">
        <f>IF(CS51&lt;CQ51,CR51,IF(CS51&gt;CQ51,CR51-1))</f>
        <v>2020</v>
      </c>
      <c r="CU51" s="1511">
        <f>IF(CQ51&gt;6,CQ51-6,IF(CQ51=6,12,IF(CQ51&lt;6,CQ51+6)))</f>
        <v>1</v>
      </c>
      <c r="CV51" s="1511">
        <f>IF(CQ51&gt;6,CR51,IF(CQ51&lt;7,CR51-1))</f>
        <v>2020</v>
      </c>
      <c r="CW51" s="1511" t="str">
        <f>IF(AND(CP51="Hưu",AY51=3),36+BA51-(12*(CV51-AV51)+(CU51-AT51)),IF(AND(CP51="Hưu",AY51=2),24+BA51-(12*(CV51-AV51)+(CU51-AT51)),IF(AND(CP51="Hưu",AY51=1),12+BA51-(12*(CV51-AV51)+(CU51-AT51)),"- - -")))</f>
        <v>- - -</v>
      </c>
      <c r="CX51" s="1531" t="str">
        <f>IF(CY51&gt;0,"K.Dài",". .")</f>
        <v>. .</v>
      </c>
      <c r="CY51" s="1529"/>
      <c r="CZ51" s="1519">
        <f>IF(F51="Nam",(60+CY51)*12,IF(F51="Nữ",(55+CY51)*12,))</f>
        <v>660</v>
      </c>
      <c r="DA51" s="1532">
        <f>12*($CP$4-K51)+(12-I51)</f>
        <v>-23574</v>
      </c>
      <c r="DB51" s="1520">
        <f>$DF$4-K51</f>
        <v>-1965</v>
      </c>
      <c r="DC51" s="1521" t="str">
        <f>IF(AND(DB51&lt;35,F51="Nam"),"Nam dưới 35",IF(AND(DB51&lt;30,F51="Nữ"),"Nữ dưới 30",IF(AND(DB51&gt;34,DB51&lt;46,F51="Nam"),"Nam từ 35 - 45",IF(AND(DB51&gt;29,DB51&lt;41,F51="Nữ"),"Nữ từ 30 - 40",IF(AND(DB51&gt;45,DB51&lt;56,F51="Nam"),"Nam trên 45 - 55",IF(AND(DB51&gt;40,DB51&lt;51,F51="Nữ"),"Nữ trên 40 - 50",IF(AND(DB51&gt;55,F51="Nam"),"Nam trên 55","Nữ trên 50")))))))</f>
        <v>Nữ dưới 30</v>
      </c>
      <c r="DD51" s="1522"/>
      <c r="DE51" s="1520"/>
      <c r="DF51" s="1523" t="str">
        <f>IF(DB51&lt;31,"Đến 30",IF(AND(DB51&gt;30,DB51&lt;46),"31 - 45",IF(AND(DB51&gt;45,DB51&lt;70),"Trên 45")))</f>
        <v>Đến 30</v>
      </c>
      <c r="DG51" s="1501" t="str">
        <f>IF(DH51&gt;0,"TD","--")</f>
        <v>--</v>
      </c>
      <c r="DH51" s="1501"/>
      <c r="DI51" s="1522"/>
      <c r="DJ51" s="1533"/>
      <c r="DK51" s="1525"/>
      <c r="DQ51" s="1511" t="s">
        <v>369</v>
      </c>
      <c r="DR51" s="1511" t="s">
        <v>342</v>
      </c>
      <c r="DS51" s="1511" t="s">
        <v>360</v>
      </c>
      <c r="DT51" s="1511">
        <v>11</v>
      </c>
      <c r="DU51" s="1511" t="s">
        <v>360</v>
      </c>
      <c r="DV51" s="1511">
        <v>2013</v>
      </c>
      <c r="DW51" s="1511">
        <f>(DR51+0)-(DY51+0)</f>
        <v>0</v>
      </c>
      <c r="DX51" s="1511" t="str">
        <f>IF(DW51&gt;0,"Sửa","- - -")</f>
        <v>- - -</v>
      </c>
      <c r="DY51" s="1511" t="s">
        <v>342</v>
      </c>
      <c r="DZ51" s="1511" t="s">
        <v>360</v>
      </c>
      <c r="EA51" s="1511">
        <v>11</v>
      </c>
      <c r="EB51" s="1511" t="s">
        <v>360</v>
      </c>
      <c r="EC51" s="1511">
        <v>2013</v>
      </c>
      <c r="EE51" s="1511" t="str">
        <f>IF(AND(BD51&gt;0.34,AF51=1,OR(BC51=6.2,BC51=5.75)),((BC51-ED51)-2*0.34),IF(AND(BD51&gt;0.33,AF51=1,OR(BC51=4.4,BC51=4)),((BC51-ED51)-2*0.33),"- - -"))</f>
        <v>- - -</v>
      </c>
      <c r="EF51" s="1511" t="str">
        <f>IF(CP51="Hưu",12*(CV51-AV51)+(CU51-AT51),"---")</f>
        <v>---</v>
      </c>
    </row>
    <row r="52" spans="1:174" s="719" customFormat="1" x14ac:dyDescent="0.2">
      <c r="A52" s="865"/>
      <c r="B52" s="848"/>
      <c r="C52" s="865"/>
      <c r="D52" s="1443"/>
      <c r="E52" s="1444"/>
      <c r="F52" s="1445"/>
      <c r="J52" s="837"/>
      <c r="K52" s="837"/>
      <c r="L52" s="837"/>
      <c r="M52" s="837"/>
      <c r="N52" s="837"/>
      <c r="O52" s="837"/>
      <c r="P52" s="837"/>
      <c r="Q52" s="1443"/>
      <c r="R52" s="1443"/>
      <c r="S52" s="1446"/>
      <c r="T52" s="1446"/>
      <c r="U52" s="825"/>
      <c r="V52" s="1447"/>
      <c r="W52" s="824"/>
      <c r="X52" s="837"/>
      <c r="Y52" s="843"/>
      <c r="Z52" s="843"/>
      <c r="AA52" s="1448"/>
      <c r="AB52" s="1448"/>
      <c r="AC52" s="1452"/>
      <c r="AD52" s="1453"/>
      <c r="AE52" s="1454"/>
      <c r="AF52" s="1454"/>
      <c r="AG52" s="1454"/>
      <c r="AH52" s="1453"/>
      <c r="AI52" s="842"/>
      <c r="AJ52" s="1450"/>
      <c r="AK52" s="1452"/>
      <c r="AL52" s="1455"/>
      <c r="AM52" s="1455"/>
      <c r="AN52" s="1455"/>
      <c r="AO52" s="1456"/>
      <c r="AP52" s="1452"/>
      <c r="AQ52" s="1457"/>
      <c r="AR52" s="1458"/>
      <c r="AS52" s="1458"/>
      <c r="AT52" s="1453"/>
      <c r="AU52" s="842"/>
      <c r="AV52" s="1450"/>
      <c r="AW52" s="1452"/>
      <c r="AX52" s="1455"/>
      <c r="AY52" s="813"/>
      <c r="AZ52" s="1450"/>
      <c r="BB52" s="1448"/>
      <c r="BC52" s="866"/>
      <c r="BD52" s="1453"/>
      <c r="BE52" s="1459"/>
      <c r="BF52" s="1456"/>
      <c r="BG52" s="1453"/>
      <c r="BH52" s="1456"/>
      <c r="BI52" s="1459"/>
      <c r="BJ52" s="1453"/>
      <c r="BK52" s="1460"/>
      <c r="BL52" s="825"/>
      <c r="BM52" s="1446"/>
      <c r="BR52" s="1461"/>
      <c r="BS52" s="1462"/>
      <c r="BT52" s="1459"/>
      <c r="BU52" s="825"/>
      <c r="BV52" s="1443"/>
      <c r="BW52" s="1443"/>
      <c r="BX52" s="828"/>
      <c r="BY52" s="828"/>
      <c r="BZ52" s="865"/>
      <c r="CA52" s="1449"/>
      <c r="CB52" s="828"/>
      <c r="CD52" s="1450"/>
      <c r="CE52" s="1451"/>
      <c r="CF52" s="865"/>
    </row>
    <row r="53" spans="1:174" s="719" customFormat="1" x14ac:dyDescent="0.2">
      <c r="A53" s="865"/>
      <c r="B53" s="848"/>
      <c r="C53" s="865"/>
      <c r="D53" s="1443"/>
      <c r="E53" s="1444"/>
      <c r="F53" s="1445"/>
      <c r="J53" s="837"/>
      <c r="K53" s="837"/>
      <c r="L53" s="837"/>
      <c r="M53" s="837"/>
      <c r="N53" s="837"/>
      <c r="O53" s="837"/>
      <c r="P53" s="837"/>
      <c r="Q53" s="1443"/>
      <c r="R53" s="1443"/>
      <c r="S53" s="1446"/>
      <c r="T53" s="1446"/>
      <c r="U53" s="825"/>
      <c r="V53" s="1447"/>
      <c r="W53" s="824"/>
      <c r="X53" s="837"/>
      <c r="Y53" s="843"/>
      <c r="Z53" s="843"/>
      <c r="AA53" s="1448"/>
      <c r="AB53" s="1448"/>
      <c r="AC53" s="1452"/>
      <c r="AD53" s="1453"/>
      <c r="AE53" s="1454"/>
      <c r="AF53" s="1454"/>
      <c r="AG53" s="1454"/>
      <c r="AH53" s="1453"/>
      <c r="AI53" s="842"/>
      <c r="AJ53" s="1450"/>
      <c r="AK53" s="1452"/>
      <c r="AL53" s="1455"/>
      <c r="AM53" s="1455"/>
      <c r="AN53" s="1455"/>
      <c r="AO53" s="1456"/>
      <c r="AP53" s="1452"/>
      <c r="AQ53" s="1457"/>
      <c r="AR53" s="1458"/>
      <c r="AS53" s="1458"/>
      <c r="AT53" s="1453"/>
      <c r="AU53" s="842"/>
      <c r="AV53" s="1450"/>
      <c r="AW53" s="1452"/>
      <c r="AX53" s="1455"/>
      <c r="AY53" s="813"/>
      <c r="AZ53" s="1450"/>
      <c r="BB53" s="1448"/>
      <c r="BC53" s="866"/>
      <c r="BD53" s="1453"/>
      <c r="BE53" s="1459"/>
      <c r="BF53" s="1456"/>
      <c r="BG53" s="1453"/>
      <c r="BH53" s="1456"/>
      <c r="BI53" s="1459"/>
      <c r="BJ53" s="1453"/>
      <c r="BK53" s="1460"/>
      <c r="BL53" s="825"/>
      <c r="BM53" s="1446"/>
      <c r="BR53" s="1461"/>
      <c r="BS53" s="1462"/>
      <c r="BT53" s="1459"/>
      <c r="BU53" s="825"/>
      <c r="BV53" s="1443"/>
      <c r="BW53" s="1443"/>
      <c r="BX53" s="828"/>
      <c r="BY53" s="828"/>
      <c r="BZ53" s="865"/>
      <c r="CA53" s="1449"/>
      <c r="CB53" s="828"/>
      <c r="CD53" s="1450"/>
      <c r="CE53" s="1451"/>
      <c r="CF53" s="865"/>
    </row>
    <row r="54" spans="1:174" s="719" customFormat="1" x14ac:dyDescent="0.2">
      <c r="A54" s="865"/>
      <c r="B54" s="848"/>
      <c r="C54" s="865"/>
      <c r="D54" s="1443"/>
      <c r="E54" s="1444"/>
      <c r="F54" s="1445"/>
      <c r="J54" s="837"/>
      <c r="K54" s="837"/>
      <c r="L54" s="837"/>
      <c r="M54" s="837"/>
      <c r="N54" s="837"/>
      <c r="O54" s="837"/>
      <c r="P54" s="837"/>
      <c r="Q54" s="1443"/>
      <c r="R54" s="1443"/>
      <c r="S54" s="1446"/>
      <c r="T54" s="1446"/>
      <c r="U54" s="825"/>
      <c r="V54" s="1447"/>
      <c r="W54" s="824"/>
      <c r="X54" s="837"/>
      <c r="Y54" s="843"/>
      <c r="Z54" s="843"/>
      <c r="AA54" s="1448"/>
      <c r="AB54" s="1448"/>
      <c r="AC54" s="1452"/>
      <c r="AD54" s="1453"/>
      <c r="AE54" s="1454"/>
      <c r="AF54" s="1454"/>
      <c r="AG54" s="1454"/>
      <c r="AH54" s="1453"/>
      <c r="AI54" s="842"/>
      <c r="AJ54" s="1450"/>
      <c r="AK54" s="1452"/>
      <c r="AL54" s="1455"/>
      <c r="AM54" s="1455"/>
      <c r="AN54" s="1455"/>
      <c r="AO54" s="1456"/>
      <c r="AP54" s="1452"/>
      <c r="AQ54" s="1457"/>
      <c r="AR54" s="1458"/>
      <c r="AS54" s="1458"/>
      <c r="AT54" s="1453"/>
      <c r="AU54" s="842"/>
      <c r="AV54" s="1450"/>
      <c r="AW54" s="1452"/>
      <c r="AX54" s="1455"/>
      <c r="AY54" s="813"/>
      <c r="AZ54" s="1450"/>
      <c r="BB54" s="1448"/>
      <c r="BC54" s="866"/>
      <c r="BD54" s="1453"/>
      <c r="BE54" s="1459"/>
      <c r="BF54" s="1456"/>
      <c r="BG54" s="1453"/>
      <c r="BH54" s="1456"/>
      <c r="BI54" s="1459"/>
      <c r="BJ54" s="1453"/>
      <c r="BK54" s="1460"/>
      <c r="BL54" s="825"/>
      <c r="BM54" s="1446"/>
      <c r="BR54" s="1461"/>
      <c r="BS54" s="1462"/>
      <c r="BT54" s="1459"/>
      <c r="BU54" s="825"/>
      <c r="BV54" s="1443"/>
      <c r="BW54" s="1443"/>
      <c r="BX54" s="828"/>
      <c r="BY54" s="828"/>
      <c r="BZ54" s="865"/>
      <c r="CA54" s="1449"/>
      <c r="CB54" s="828"/>
      <c r="CD54" s="1450"/>
      <c r="CE54" s="1451"/>
      <c r="CF54" s="865"/>
    </row>
    <row r="55" spans="1:174" s="719" customFormat="1" x14ac:dyDescent="0.2">
      <c r="A55" s="865"/>
      <c r="B55" s="848"/>
      <c r="C55" s="865"/>
      <c r="D55" s="1443"/>
      <c r="E55" s="1444"/>
      <c r="F55" s="1445"/>
      <c r="J55" s="837"/>
      <c r="K55" s="837"/>
      <c r="L55" s="837"/>
      <c r="M55" s="837"/>
      <c r="N55" s="837"/>
      <c r="O55" s="837"/>
      <c r="P55" s="837"/>
      <c r="Q55" s="1443"/>
      <c r="R55" s="1443"/>
      <c r="S55" s="1446"/>
      <c r="T55" s="1446"/>
      <c r="U55" s="825"/>
      <c r="V55" s="1447"/>
      <c r="W55" s="824"/>
      <c r="X55" s="837"/>
      <c r="Y55" s="843"/>
      <c r="Z55" s="843"/>
      <c r="AA55" s="1448"/>
      <c r="AB55" s="1448"/>
      <c r="AC55" s="1452"/>
      <c r="AD55" s="1453"/>
      <c r="AE55" s="1454"/>
      <c r="AF55" s="1454"/>
      <c r="AG55" s="1454"/>
      <c r="AH55" s="1453"/>
      <c r="AI55" s="842"/>
      <c r="AJ55" s="1450"/>
      <c r="AK55" s="1452"/>
      <c r="AL55" s="1455"/>
      <c r="AM55" s="1455"/>
      <c r="AN55" s="1455"/>
      <c r="AO55" s="1456"/>
      <c r="AP55" s="1452"/>
      <c r="AQ55" s="1457"/>
      <c r="AR55" s="1458"/>
      <c r="AS55" s="1458"/>
      <c r="AT55" s="1453"/>
      <c r="AU55" s="842"/>
      <c r="AV55" s="1450"/>
      <c r="AW55" s="1452"/>
      <c r="AX55" s="1455"/>
      <c r="AY55" s="813"/>
      <c r="AZ55" s="1450"/>
      <c r="BB55" s="1448"/>
      <c r="BC55" s="866"/>
      <c r="BD55" s="1453"/>
      <c r="BE55" s="1459"/>
      <c r="BF55" s="1456"/>
      <c r="BG55" s="1453"/>
      <c r="BH55" s="1456"/>
      <c r="BI55" s="1459"/>
      <c r="BJ55" s="1453"/>
      <c r="BK55" s="1460"/>
      <c r="BL55" s="825"/>
      <c r="BM55" s="1446"/>
      <c r="BR55" s="1461"/>
      <c r="BS55" s="1462"/>
      <c r="BT55" s="1459"/>
      <c r="BU55" s="825"/>
      <c r="BV55" s="1443"/>
      <c r="BW55" s="1443"/>
      <c r="BX55" s="828"/>
      <c r="BY55" s="828"/>
      <c r="BZ55" s="865"/>
      <c r="CA55" s="1449"/>
      <c r="CB55" s="828"/>
      <c r="CD55" s="1450"/>
      <c r="CE55" s="1451"/>
      <c r="CF55" s="865"/>
    </row>
    <row r="56" spans="1:174" s="719" customFormat="1" x14ac:dyDescent="0.2">
      <c r="A56" s="865"/>
      <c r="B56" s="848"/>
      <c r="C56" s="865"/>
      <c r="D56" s="1443"/>
      <c r="E56" s="1444"/>
      <c r="F56" s="1445"/>
      <c r="J56" s="837"/>
      <c r="K56" s="837"/>
      <c r="L56" s="837"/>
      <c r="M56" s="837"/>
      <c r="N56" s="837"/>
      <c r="O56" s="837"/>
      <c r="P56" s="837"/>
      <c r="Q56" s="1443"/>
      <c r="R56" s="1443"/>
      <c r="S56" s="1446"/>
      <c r="T56" s="1446"/>
      <c r="U56" s="825"/>
      <c r="V56" s="1447"/>
      <c r="W56" s="824"/>
      <c r="X56" s="837"/>
      <c r="Y56" s="843"/>
      <c r="Z56" s="843"/>
      <c r="AA56" s="1448"/>
      <c r="AB56" s="1448"/>
      <c r="AC56" s="1452"/>
      <c r="AD56" s="1453"/>
      <c r="AE56" s="1454"/>
      <c r="AF56" s="1454"/>
      <c r="AG56" s="1454"/>
      <c r="AH56" s="1453"/>
      <c r="AI56" s="842"/>
      <c r="AJ56" s="1450"/>
      <c r="AK56" s="1452"/>
      <c r="AL56" s="1455"/>
      <c r="AM56" s="1455"/>
      <c r="AN56" s="1455"/>
      <c r="AO56" s="1456"/>
      <c r="AP56" s="1452"/>
      <c r="AQ56" s="1457"/>
      <c r="AR56" s="1458"/>
      <c r="AS56" s="1458"/>
      <c r="AT56" s="1453"/>
      <c r="AU56" s="842"/>
      <c r="AV56" s="1450"/>
      <c r="AW56" s="1452"/>
      <c r="AX56" s="1455"/>
      <c r="AY56" s="813"/>
      <c r="AZ56" s="1450"/>
      <c r="BB56" s="1448"/>
      <c r="BC56" s="866"/>
      <c r="BD56" s="1453"/>
      <c r="BE56" s="1459"/>
      <c r="BF56" s="1456"/>
      <c r="BG56" s="1453"/>
      <c r="BH56" s="1456"/>
      <c r="BI56" s="1459"/>
      <c r="BJ56" s="1453"/>
      <c r="BK56" s="1460"/>
      <c r="BL56" s="825"/>
      <c r="BM56" s="1446"/>
      <c r="BR56" s="1461"/>
      <c r="BS56" s="1462"/>
      <c r="BT56" s="1459"/>
      <c r="BU56" s="825"/>
      <c r="BV56" s="1443"/>
      <c r="BW56" s="1443"/>
      <c r="BX56" s="828"/>
      <c r="BY56" s="828"/>
      <c r="BZ56" s="865"/>
      <c r="CA56" s="1449"/>
      <c r="CB56" s="828"/>
      <c r="CD56" s="1450"/>
      <c r="CE56" s="1451"/>
      <c r="CF56" s="865"/>
    </row>
    <row r="57" spans="1:174" s="719" customFormat="1" x14ac:dyDescent="0.2">
      <c r="A57" s="865"/>
      <c r="B57" s="848"/>
      <c r="C57" s="865"/>
      <c r="D57" s="1443"/>
      <c r="E57" s="1444"/>
      <c r="F57" s="1445"/>
      <c r="J57" s="837"/>
      <c r="K57" s="837"/>
      <c r="L57" s="837"/>
      <c r="M57" s="837"/>
      <c r="N57" s="837"/>
      <c r="O57" s="837"/>
      <c r="P57" s="837"/>
      <c r="Q57" s="1443"/>
      <c r="R57" s="1443"/>
      <c r="S57" s="1446"/>
      <c r="T57" s="1446"/>
      <c r="U57" s="825"/>
      <c r="V57" s="1447"/>
      <c r="W57" s="824"/>
      <c r="X57" s="837"/>
      <c r="Y57" s="843"/>
      <c r="Z57" s="843"/>
      <c r="AA57" s="1448"/>
      <c r="AB57" s="1448"/>
      <c r="AC57" s="1452"/>
      <c r="AD57" s="1453"/>
      <c r="AE57" s="1454"/>
      <c r="AF57" s="1454"/>
      <c r="AG57" s="1454"/>
      <c r="AH57" s="1453"/>
      <c r="AI57" s="842"/>
      <c r="AJ57" s="1450"/>
      <c r="AK57" s="1452"/>
      <c r="AL57" s="1455"/>
      <c r="AM57" s="1455"/>
      <c r="AN57" s="1455"/>
      <c r="AO57" s="1456"/>
      <c r="AP57" s="1452"/>
      <c r="AQ57" s="1457"/>
      <c r="AR57" s="1458"/>
      <c r="AS57" s="1458"/>
      <c r="AT57" s="1453"/>
      <c r="AU57" s="842"/>
      <c r="AV57" s="1450"/>
      <c r="AW57" s="1452"/>
      <c r="AX57" s="1455"/>
      <c r="AY57" s="813"/>
      <c r="AZ57" s="1450"/>
      <c r="BB57" s="1448"/>
      <c r="BC57" s="866"/>
      <c r="BD57" s="1453"/>
      <c r="BE57" s="1459"/>
      <c r="BF57" s="1456"/>
      <c r="BG57" s="1453"/>
      <c r="BH57" s="1456"/>
      <c r="BI57" s="1459"/>
      <c r="BJ57" s="1453"/>
      <c r="BK57" s="1460"/>
      <c r="BL57" s="825"/>
      <c r="BM57" s="1446"/>
      <c r="BR57" s="1461"/>
      <c r="BS57" s="1462"/>
      <c r="BT57" s="1459"/>
      <c r="BU57" s="825"/>
      <c r="BV57" s="1443"/>
      <c r="BW57" s="1443"/>
      <c r="BX57" s="828"/>
      <c r="BY57" s="828"/>
      <c r="BZ57" s="865"/>
      <c r="CA57" s="1449"/>
      <c r="CB57" s="828"/>
      <c r="CD57" s="1450"/>
      <c r="CE57" s="1451"/>
      <c r="CF57" s="865"/>
    </row>
    <row r="58" spans="1:174" s="719" customFormat="1" x14ac:dyDescent="0.2">
      <c r="A58" s="865"/>
      <c r="B58" s="848"/>
      <c r="C58" s="865"/>
      <c r="D58" s="1443"/>
      <c r="E58" s="1444"/>
      <c r="F58" s="1445"/>
      <c r="J58" s="837"/>
      <c r="K58" s="837"/>
      <c r="L58" s="837"/>
      <c r="M58" s="837"/>
      <c r="N58" s="837"/>
      <c r="O58" s="837"/>
      <c r="P58" s="837"/>
      <c r="Q58" s="1443"/>
      <c r="R58" s="1443"/>
      <c r="S58" s="1446"/>
      <c r="T58" s="1446"/>
      <c r="U58" s="825"/>
      <c r="V58" s="1447"/>
      <c r="W58" s="824"/>
      <c r="X58" s="837"/>
      <c r="Y58" s="843"/>
      <c r="Z58" s="843"/>
      <c r="AA58" s="1448"/>
      <c r="AB58" s="1448"/>
      <c r="AC58" s="1452"/>
      <c r="AD58" s="1453"/>
      <c r="AE58" s="1454"/>
      <c r="AF58" s="1454"/>
      <c r="AG58" s="1454"/>
      <c r="AH58" s="1453"/>
      <c r="AI58" s="842"/>
      <c r="AJ58" s="1450"/>
      <c r="AK58" s="1452"/>
      <c r="AL58" s="1455"/>
      <c r="AM58" s="1455"/>
      <c r="AN58" s="1455"/>
      <c r="AO58" s="1456"/>
      <c r="AP58" s="1452"/>
      <c r="AQ58" s="1457"/>
      <c r="AR58" s="1458"/>
      <c r="AS58" s="1458"/>
      <c r="AT58" s="1453"/>
      <c r="AU58" s="842"/>
      <c r="AV58" s="1450"/>
      <c r="AW58" s="1452"/>
      <c r="AX58" s="1455"/>
      <c r="AY58" s="813"/>
      <c r="AZ58" s="1450"/>
      <c r="BB58" s="1448"/>
      <c r="BC58" s="866"/>
      <c r="BD58" s="1453"/>
      <c r="BE58" s="1459"/>
      <c r="BF58" s="1456"/>
      <c r="BG58" s="1453"/>
      <c r="BH58" s="1456"/>
      <c r="BI58" s="1459"/>
      <c r="BJ58" s="1453"/>
      <c r="BK58" s="1460"/>
      <c r="BL58" s="825"/>
      <c r="BM58" s="1446"/>
      <c r="BR58" s="1461"/>
      <c r="BS58" s="1462"/>
      <c r="BT58" s="1459"/>
      <c r="BU58" s="825"/>
      <c r="BV58" s="1443"/>
      <c r="BW58" s="1443"/>
      <c r="BX58" s="828"/>
      <c r="BY58" s="828"/>
      <c r="BZ58" s="865"/>
      <c r="CA58" s="1449"/>
      <c r="CB58" s="828"/>
      <c r="CD58" s="1450"/>
      <c r="CE58" s="1451"/>
      <c r="CF58" s="865"/>
    </row>
    <row r="59" spans="1:174" s="719" customFormat="1" x14ac:dyDescent="0.2">
      <c r="A59" s="865"/>
      <c r="B59" s="848"/>
      <c r="C59" s="865"/>
      <c r="D59" s="1443"/>
      <c r="E59" s="1444"/>
      <c r="F59" s="1445"/>
      <c r="J59" s="837"/>
      <c r="K59" s="837"/>
      <c r="L59" s="837"/>
      <c r="M59" s="837"/>
      <c r="N59" s="837"/>
      <c r="O59" s="837"/>
      <c r="P59" s="837"/>
      <c r="Q59" s="1443"/>
      <c r="R59" s="1443"/>
      <c r="S59" s="1446"/>
      <c r="T59" s="1446"/>
      <c r="U59" s="825"/>
      <c r="V59" s="1447"/>
      <c r="W59" s="824"/>
      <c r="X59" s="837"/>
      <c r="Y59" s="843"/>
      <c r="Z59" s="843"/>
      <c r="AA59" s="1448"/>
      <c r="AB59" s="1448"/>
      <c r="AC59" s="1452"/>
      <c r="AD59" s="1453"/>
      <c r="AE59" s="1454"/>
      <c r="AF59" s="1454"/>
      <c r="AG59" s="1454"/>
      <c r="AH59" s="1453"/>
      <c r="AI59" s="842"/>
      <c r="AJ59" s="1450"/>
      <c r="AK59" s="1452"/>
      <c r="AL59" s="1455"/>
      <c r="AM59" s="1455"/>
      <c r="AN59" s="1455"/>
      <c r="AO59" s="1456"/>
      <c r="AP59" s="1452"/>
      <c r="AQ59" s="1457"/>
      <c r="AR59" s="1458"/>
      <c r="AS59" s="1458"/>
      <c r="AT59" s="1453"/>
      <c r="AU59" s="842"/>
      <c r="AV59" s="1450"/>
      <c r="AW59" s="1452"/>
      <c r="AX59" s="1455"/>
      <c r="AY59" s="813"/>
      <c r="AZ59" s="1450"/>
      <c r="BB59" s="1448"/>
      <c r="BC59" s="866"/>
      <c r="BD59" s="1453"/>
      <c r="BE59" s="1459"/>
      <c r="BF59" s="1456"/>
      <c r="BG59" s="1453"/>
      <c r="BH59" s="1456"/>
      <c r="BI59" s="1459"/>
      <c r="BJ59" s="1453"/>
      <c r="BK59" s="1460"/>
      <c r="BL59" s="825"/>
      <c r="BM59" s="1446"/>
      <c r="BR59" s="1461"/>
      <c r="BS59" s="1462"/>
      <c r="BT59" s="1459"/>
      <c r="BU59" s="825"/>
      <c r="BV59" s="1443"/>
      <c r="BW59" s="1443"/>
      <c r="BX59" s="828"/>
      <c r="BY59" s="828"/>
      <c r="BZ59" s="865"/>
      <c r="CA59" s="1449"/>
      <c r="CB59" s="828"/>
      <c r="CD59" s="1450"/>
      <c r="CE59" s="1451"/>
      <c r="CF59" s="865"/>
    </row>
    <row r="60" spans="1:174" s="719" customFormat="1" x14ac:dyDescent="0.2">
      <c r="A60" s="865"/>
      <c r="B60" s="848"/>
      <c r="C60" s="865"/>
      <c r="D60" s="1443"/>
      <c r="E60" s="1444"/>
      <c r="F60" s="1445"/>
      <c r="J60" s="837"/>
      <c r="K60" s="837"/>
      <c r="L60" s="837"/>
      <c r="M60" s="837"/>
      <c r="N60" s="837"/>
      <c r="O60" s="837"/>
      <c r="P60" s="837"/>
      <c r="Q60" s="1443"/>
      <c r="R60" s="1443"/>
      <c r="S60" s="1446"/>
      <c r="T60" s="1446"/>
      <c r="U60" s="825"/>
      <c r="V60" s="1447"/>
      <c r="W60" s="824"/>
      <c r="X60" s="837"/>
      <c r="Y60" s="843"/>
      <c r="Z60" s="843"/>
      <c r="AA60" s="1448"/>
      <c r="AB60" s="1448"/>
      <c r="AC60" s="1452"/>
      <c r="AD60" s="1453"/>
      <c r="AE60" s="1454"/>
      <c r="AF60" s="1454"/>
      <c r="AG60" s="1454"/>
      <c r="AH60" s="1453"/>
      <c r="AI60" s="842"/>
      <c r="AJ60" s="1450"/>
      <c r="AK60" s="1452"/>
      <c r="AL60" s="1455"/>
      <c r="AM60" s="1455"/>
      <c r="AN60" s="1455"/>
      <c r="AO60" s="1456"/>
      <c r="AP60" s="1452"/>
      <c r="AQ60" s="1457"/>
      <c r="AR60" s="1458"/>
      <c r="AS60" s="1458"/>
      <c r="AT60" s="1453"/>
      <c r="AU60" s="842"/>
      <c r="AV60" s="1450"/>
      <c r="AW60" s="1452"/>
      <c r="AX60" s="1455"/>
      <c r="AY60" s="813"/>
      <c r="AZ60" s="1450"/>
      <c r="BB60" s="1448"/>
      <c r="BC60" s="866"/>
      <c r="BD60" s="1453"/>
      <c r="BE60" s="1459"/>
      <c r="BF60" s="1456"/>
      <c r="BG60" s="1453"/>
      <c r="BH60" s="1456"/>
      <c r="BI60" s="1459"/>
      <c r="BJ60" s="1453"/>
      <c r="BK60" s="1460"/>
      <c r="BL60" s="825"/>
      <c r="BM60" s="1446"/>
      <c r="BR60" s="1461"/>
      <c r="BS60" s="1462"/>
      <c r="BT60" s="1459"/>
      <c r="BU60" s="825"/>
      <c r="BV60" s="1443"/>
      <c r="BW60" s="1443"/>
      <c r="BX60" s="828"/>
      <c r="BY60" s="828"/>
      <c r="BZ60" s="865"/>
      <c r="CA60" s="1449"/>
      <c r="CB60" s="828"/>
      <c r="CD60" s="1450"/>
      <c r="CE60" s="1451"/>
      <c r="CF60" s="865"/>
    </row>
    <row r="61" spans="1:174" s="719" customFormat="1" x14ac:dyDescent="0.2">
      <c r="A61" s="865"/>
      <c r="B61" s="848"/>
      <c r="C61" s="865"/>
      <c r="D61" s="1443"/>
      <c r="E61" s="1444"/>
      <c r="F61" s="1445"/>
      <c r="J61" s="837"/>
      <c r="K61" s="837"/>
      <c r="L61" s="837"/>
      <c r="M61" s="837"/>
      <c r="N61" s="837"/>
      <c r="O61" s="837"/>
      <c r="P61" s="837"/>
      <c r="Q61" s="1443"/>
      <c r="R61" s="1443"/>
      <c r="S61" s="1446"/>
      <c r="T61" s="1446"/>
      <c r="U61" s="825"/>
      <c r="V61" s="1447"/>
      <c r="W61" s="824"/>
      <c r="X61" s="837"/>
      <c r="Y61" s="843"/>
      <c r="Z61" s="843"/>
      <c r="AA61" s="1448"/>
      <c r="AB61" s="1448"/>
      <c r="AC61" s="1452"/>
      <c r="AD61" s="1453"/>
      <c r="AE61" s="1454"/>
      <c r="AF61" s="1454"/>
      <c r="AG61" s="1454"/>
      <c r="AH61" s="1453"/>
      <c r="AI61" s="842"/>
      <c r="AJ61" s="1450"/>
      <c r="AK61" s="1452"/>
      <c r="AL61" s="1455"/>
      <c r="AM61" s="1455"/>
      <c r="AN61" s="1455"/>
      <c r="AO61" s="1456"/>
      <c r="AP61" s="1452"/>
      <c r="AQ61" s="1457"/>
      <c r="AR61" s="1458"/>
      <c r="AS61" s="1458"/>
      <c r="AT61" s="1453"/>
      <c r="AU61" s="842"/>
      <c r="AV61" s="1450"/>
      <c r="AW61" s="1452"/>
      <c r="AX61" s="1455"/>
      <c r="AY61" s="813"/>
      <c r="AZ61" s="1450"/>
      <c r="BB61" s="1448"/>
      <c r="BC61" s="866"/>
      <c r="BD61" s="1453"/>
      <c r="BE61" s="1459"/>
      <c r="BF61" s="1456"/>
      <c r="BG61" s="1453"/>
      <c r="BH61" s="1456"/>
      <c r="BI61" s="1459"/>
      <c r="BJ61" s="1453"/>
      <c r="BK61" s="1460"/>
      <c r="BL61" s="825"/>
      <c r="BM61" s="1446"/>
      <c r="BR61" s="1461"/>
      <c r="BS61" s="1462"/>
      <c r="BT61" s="1459"/>
      <c r="BU61" s="825"/>
      <c r="BV61" s="1443"/>
      <c r="BW61" s="1443"/>
      <c r="BX61" s="828"/>
      <c r="BY61" s="828"/>
      <c r="BZ61" s="865"/>
      <c r="CA61" s="1449"/>
      <c r="CB61" s="828"/>
      <c r="CD61" s="1450"/>
      <c r="CE61" s="1451"/>
      <c r="CF61" s="865"/>
    </row>
    <row r="62" spans="1:174" s="719" customFormat="1" ht="29.25" customHeight="1" x14ac:dyDescent="0.2">
      <c r="A62" s="865"/>
      <c r="B62" s="848"/>
      <c r="C62" s="865"/>
      <c r="D62" s="1443"/>
      <c r="E62" s="1444"/>
      <c r="F62" s="1445"/>
      <c r="J62" s="837"/>
      <c r="K62" s="837"/>
      <c r="L62" s="837"/>
      <c r="M62" s="837"/>
      <c r="N62" s="837"/>
      <c r="O62" s="837"/>
      <c r="P62" s="837"/>
      <c r="Q62" s="1443"/>
      <c r="R62" s="1443"/>
      <c r="S62" s="1446"/>
      <c r="T62" s="1446"/>
      <c r="U62" s="825"/>
      <c r="V62" s="1447"/>
      <c r="W62" s="824"/>
      <c r="X62" s="837"/>
      <c r="Y62" s="843"/>
      <c r="Z62" s="843"/>
      <c r="AA62" s="1448"/>
      <c r="AB62" s="1448"/>
      <c r="AC62" s="1452"/>
      <c r="AD62" s="1453"/>
      <c r="AE62" s="1454"/>
      <c r="AF62" s="1454"/>
      <c r="AG62" s="1454"/>
      <c r="AH62" s="1453"/>
      <c r="AI62" s="842"/>
      <c r="AJ62" s="1450"/>
      <c r="AK62" s="1452"/>
      <c r="AL62" s="1455"/>
      <c r="AM62" s="1455"/>
      <c r="AN62" s="1455"/>
      <c r="AO62" s="1456"/>
      <c r="AP62" s="1452"/>
      <c r="AQ62" s="1457"/>
      <c r="AR62" s="1458"/>
      <c r="AS62" s="1458"/>
      <c r="AT62" s="1453"/>
      <c r="AU62" s="842"/>
      <c r="AV62" s="1450"/>
      <c r="AW62" s="1452"/>
      <c r="AX62" s="1455"/>
      <c r="AY62" s="813"/>
      <c r="AZ62" s="1450"/>
      <c r="BB62" s="1448"/>
      <c r="BC62" s="866"/>
      <c r="BD62" s="1453"/>
      <c r="BE62" s="1459"/>
      <c r="BF62" s="1456"/>
      <c r="BG62" s="1453"/>
      <c r="BH62" s="1456"/>
      <c r="BI62" s="1459"/>
      <c r="BJ62" s="1453"/>
      <c r="BK62" s="1460"/>
      <c r="BL62" s="825"/>
      <c r="BM62" s="1446"/>
      <c r="BR62" s="1461"/>
      <c r="BS62" s="1462"/>
      <c r="BT62" s="1459"/>
      <c r="BU62" s="825"/>
      <c r="BV62" s="1443"/>
      <c r="BW62" s="1443"/>
      <c r="BX62" s="828"/>
      <c r="BY62" s="828"/>
      <c r="BZ62" s="865"/>
      <c r="CA62" s="1449"/>
      <c r="CB62" s="828"/>
      <c r="CD62" s="1450"/>
      <c r="CE62" s="1451"/>
      <c r="CF62" s="865"/>
    </row>
    <row r="63" spans="1:174" s="1619" customFormat="1" ht="11.25" customHeight="1" x14ac:dyDescent="0.2">
      <c r="A63" s="1534"/>
      <c r="B63" s="1535"/>
      <c r="C63" s="1536"/>
      <c r="D63" s="1536"/>
      <c r="E63" s="1537"/>
      <c r="F63" s="1536"/>
      <c r="G63" s="1538"/>
      <c r="H63" s="1539"/>
      <c r="I63" s="1538"/>
      <c r="J63" s="1539"/>
      <c r="K63" s="1537"/>
      <c r="L63" s="1537"/>
      <c r="M63" s="1537"/>
      <c r="N63" s="1537"/>
      <c r="O63" s="1537"/>
      <c r="P63" s="1537"/>
      <c r="Q63" s="1537"/>
      <c r="R63" s="1537"/>
      <c r="S63" s="1537"/>
      <c r="T63" s="1540"/>
      <c r="U63" s="1541"/>
      <c r="V63" s="1184"/>
      <c r="W63" s="1542"/>
      <c r="X63" s="1543"/>
      <c r="Y63" s="1544"/>
      <c r="Z63" s="1544"/>
      <c r="AA63" s="1545"/>
      <c r="AB63" s="1546"/>
      <c r="AC63" s="1547"/>
      <c r="AD63" s="1548"/>
      <c r="AE63" s="1549"/>
      <c r="AF63" s="1550"/>
      <c r="AG63" s="1551"/>
      <c r="AH63" s="1552"/>
      <c r="AI63" s="1553"/>
      <c r="AJ63" s="1551"/>
      <c r="AK63" s="1554"/>
      <c r="AL63" s="1555"/>
      <c r="AM63" s="1556"/>
      <c r="AN63" s="1557"/>
      <c r="AO63" s="1558"/>
      <c r="AP63" s="1559"/>
      <c r="AQ63" s="1560"/>
      <c r="AR63" s="1561"/>
      <c r="AS63" s="1562"/>
      <c r="AT63" s="1563"/>
      <c r="AU63" s="1564"/>
      <c r="AV63" s="1565"/>
      <c r="AW63" s="1566"/>
      <c r="AX63" s="1567"/>
      <c r="AY63" s="1568"/>
      <c r="AZ63" s="1569"/>
      <c r="BA63" s="1570"/>
      <c r="BB63" s="1571"/>
      <c r="BC63" s="1572"/>
      <c r="BD63" s="1573"/>
      <c r="BE63" s="1573"/>
      <c r="BF63" s="1574"/>
      <c r="BG63" s="1575"/>
      <c r="BH63" s="1576"/>
      <c r="BI63" s="1577"/>
      <c r="BJ63" s="1578"/>
      <c r="BK63" s="1579"/>
      <c r="BL63" s="1578"/>
      <c r="BM63" s="1580"/>
      <c r="BN63" s="1556"/>
      <c r="BO63" s="1581"/>
      <c r="BP63" s="1582"/>
      <c r="BQ63" s="1583"/>
      <c r="BR63" s="1584"/>
      <c r="BS63" s="1566"/>
      <c r="BT63" s="1585"/>
      <c r="BU63" s="1566"/>
      <c r="BV63" s="1586"/>
      <c r="BW63" s="1587"/>
      <c r="BX63" s="1588"/>
      <c r="BY63" s="1589"/>
      <c r="BZ63" s="1574"/>
      <c r="CA63" s="1590"/>
      <c r="CB63" s="1591"/>
      <c r="CC63" s="1592"/>
      <c r="CD63" s="1545"/>
      <c r="CE63" s="1536"/>
      <c r="CF63" s="1536"/>
      <c r="CG63" s="1593"/>
      <c r="CH63" s="1536"/>
      <c r="CI63" s="1594"/>
      <c r="CJ63" s="1536"/>
      <c r="CK63" s="1595"/>
      <c r="CL63" s="1596"/>
      <c r="CM63" s="1597"/>
      <c r="CN63" s="1596"/>
      <c r="CO63" s="1598"/>
      <c r="CP63" s="1595"/>
      <c r="CQ63" s="1596"/>
      <c r="CR63" s="1597"/>
      <c r="CS63" s="1596"/>
      <c r="CT63" s="1598"/>
      <c r="CU63" s="1599"/>
      <c r="CV63" s="1600"/>
      <c r="CW63" s="1601"/>
      <c r="CX63" s="1602"/>
      <c r="CY63" s="1601"/>
      <c r="CZ63" s="1602"/>
      <c r="DA63" s="1601"/>
      <c r="DB63" s="1602"/>
      <c r="DC63" s="1603"/>
      <c r="DD63" s="1604"/>
      <c r="DE63" s="1604"/>
      <c r="DF63" s="1545"/>
      <c r="DG63" s="1545"/>
      <c r="DH63" s="1545"/>
      <c r="DI63" s="1545"/>
      <c r="DJ63" s="1545"/>
      <c r="DK63" s="1545"/>
      <c r="DL63" s="1574"/>
      <c r="DM63" s="1596"/>
      <c r="DN63" s="1605"/>
      <c r="DO63" s="1536"/>
      <c r="DP63" s="1606"/>
      <c r="DQ63" s="1605"/>
      <c r="DR63" s="1598"/>
      <c r="DS63" s="1607"/>
      <c r="DT63" s="1608"/>
      <c r="DU63" s="1609"/>
      <c r="DV63" s="1568"/>
      <c r="DW63" s="1610"/>
      <c r="DX63" s="1611"/>
      <c r="DY63" s="1610"/>
      <c r="DZ63" s="1563"/>
      <c r="EA63" s="1565"/>
      <c r="EB63" s="1612"/>
      <c r="EC63" s="1565"/>
      <c r="ED63" s="1613"/>
      <c r="EE63" s="1565"/>
      <c r="EF63" s="1614"/>
      <c r="EG63" s="1563"/>
      <c r="EH63" s="1565"/>
      <c r="EI63" s="1615"/>
      <c r="EJ63" s="1565"/>
      <c r="EK63" s="1613"/>
      <c r="EL63" s="1536"/>
      <c r="EM63" s="1595"/>
      <c r="EN63" s="1616"/>
      <c r="EO63" s="1568"/>
      <c r="EP63" s="1617"/>
      <c r="EQ63" s="1617"/>
      <c r="ER63" s="1617"/>
      <c r="ES63" s="1617"/>
      <c r="ET63" s="1617"/>
      <c r="EU63" s="1617"/>
      <c r="EV63" s="1617"/>
      <c r="EW63" s="1617"/>
      <c r="EX63" s="1617"/>
      <c r="EY63" s="1617"/>
      <c r="EZ63" s="1617"/>
      <c r="FA63" s="1617"/>
      <c r="FB63" s="1617"/>
      <c r="FC63" s="1617"/>
      <c r="FD63" s="1617"/>
      <c r="FE63" s="1617"/>
      <c r="FF63" s="1617"/>
      <c r="FG63" s="1617"/>
      <c r="FH63" s="1617"/>
      <c r="FI63" s="1617"/>
      <c r="FJ63" s="1617"/>
      <c r="FK63" s="1617"/>
      <c r="FL63" s="1617"/>
      <c r="FM63" s="1617"/>
      <c r="FN63" s="1618"/>
      <c r="FO63" s="1618"/>
      <c r="FP63" s="1618"/>
      <c r="FQ63" s="1618"/>
      <c r="FR63" s="1618"/>
    </row>
    <row r="64" spans="1:174" s="1617" customFormat="1" ht="11.25" customHeight="1" x14ac:dyDescent="0.2">
      <c r="A64" s="1534"/>
      <c r="B64" s="1535"/>
      <c r="C64" s="1536"/>
      <c r="D64" s="1536"/>
      <c r="E64" s="1537"/>
      <c r="F64" s="1536"/>
      <c r="G64" s="1538"/>
      <c r="H64" s="1539"/>
      <c r="I64" s="1538"/>
      <c r="J64" s="1539"/>
      <c r="K64" s="1537"/>
      <c r="L64" s="1620"/>
      <c r="M64" s="1183"/>
      <c r="N64" s="1621"/>
      <c r="O64" s="1622"/>
      <c r="P64" s="1623"/>
      <c r="Q64" s="1535"/>
      <c r="R64" s="1537"/>
      <c r="S64" s="1537"/>
      <c r="T64" s="1540"/>
      <c r="U64" s="1541"/>
      <c r="V64" s="1184"/>
      <c r="W64" s="1542"/>
      <c r="X64" s="1543"/>
      <c r="Y64" s="1544"/>
      <c r="Z64" s="1544"/>
      <c r="AA64" s="1545"/>
      <c r="AB64" s="1546"/>
      <c r="AC64" s="1547"/>
      <c r="AD64" s="1548"/>
      <c r="AE64" s="1549"/>
      <c r="AF64" s="1550"/>
      <c r="AG64" s="1551"/>
      <c r="AH64" s="1552"/>
      <c r="AI64" s="1554"/>
      <c r="AJ64" s="1551"/>
      <c r="AK64" s="1554"/>
      <c r="AL64" s="1555"/>
      <c r="AM64" s="1556"/>
      <c r="AN64" s="1557"/>
      <c r="AO64" s="1558"/>
      <c r="AP64" s="1559"/>
      <c r="AQ64" s="1560"/>
      <c r="AR64" s="1561"/>
      <c r="AS64" s="1562"/>
      <c r="AT64" s="1563"/>
      <c r="AU64" s="1566"/>
      <c r="AV64" s="1565"/>
      <c r="AW64" s="1566"/>
      <c r="AX64" s="1567"/>
      <c r="AY64" s="1568"/>
      <c r="AZ64" s="1624"/>
      <c r="BA64" s="1570"/>
      <c r="BB64" s="1571"/>
      <c r="BC64" s="1572"/>
      <c r="BD64" s="1573"/>
      <c r="BE64" s="1573"/>
      <c r="BF64" s="1574"/>
      <c r="BG64" s="1575"/>
      <c r="BH64" s="1576"/>
      <c r="BI64" s="1584"/>
      <c r="BJ64" s="1578"/>
      <c r="BK64" s="1625"/>
      <c r="BL64" s="1578"/>
      <c r="BM64" s="1586"/>
      <c r="BN64" s="1556"/>
      <c r="BO64" s="1581"/>
      <c r="BP64" s="1582"/>
      <c r="BQ64" s="1583"/>
      <c r="BR64" s="1584"/>
      <c r="BS64" s="1566"/>
      <c r="BT64" s="1626"/>
      <c r="BU64" s="1566"/>
      <c r="BV64" s="1586"/>
      <c r="BW64" s="1587"/>
      <c r="BX64" s="1588"/>
      <c r="BY64" s="1589"/>
      <c r="BZ64" s="1574"/>
      <c r="CA64" s="1590"/>
      <c r="CB64" s="1591"/>
      <c r="CC64" s="1592"/>
      <c r="CD64" s="1545"/>
      <c r="CE64" s="1536"/>
      <c r="CF64" s="1536"/>
      <c r="CG64" s="1627"/>
      <c r="CH64" s="1536"/>
      <c r="CI64" s="1628"/>
      <c r="CJ64" s="1536"/>
      <c r="CK64" s="1595"/>
      <c r="CL64" s="1596"/>
      <c r="CM64" s="1597"/>
      <c r="CN64" s="1596"/>
      <c r="CO64" s="1598"/>
      <c r="CP64" s="1595"/>
      <c r="CQ64" s="1596"/>
      <c r="CR64" s="1597"/>
      <c r="CS64" s="1596"/>
      <c r="CT64" s="1598"/>
      <c r="CU64" s="1599"/>
      <c r="CV64" s="1600"/>
      <c r="CW64" s="1601"/>
      <c r="CX64" s="1602"/>
      <c r="CY64" s="1601"/>
      <c r="CZ64" s="1602"/>
      <c r="DA64" s="1601"/>
      <c r="DB64" s="1602"/>
      <c r="DC64" s="1603"/>
      <c r="DD64" s="1604"/>
      <c r="DE64" s="1604"/>
      <c r="DF64" s="1545"/>
      <c r="DG64" s="1545"/>
      <c r="DH64" s="1545"/>
      <c r="DI64" s="1545"/>
      <c r="DJ64" s="1545"/>
      <c r="DK64" s="1545"/>
      <c r="DL64" s="1574"/>
      <c r="DM64" s="1596"/>
      <c r="DN64" s="1605"/>
      <c r="DO64" s="1536"/>
      <c r="DP64" s="1606"/>
      <c r="DQ64" s="1605"/>
      <c r="DR64" s="1598"/>
      <c r="DS64" s="1607"/>
      <c r="DT64" s="1608"/>
      <c r="DU64" s="1609"/>
      <c r="DV64" s="1568"/>
      <c r="DW64" s="1610"/>
      <c r="DX64" s="1611"/>
      <c r="DY64" s="1610"/>
      <c r="DZ64" s="1563"/>
      <c r="EA64" s="1565"/>
      <c r="EB64" s="1565"/>
      <c r="EC64" s="1565"/>
      <c r="ED64" s="1613"/>
      <c r="EE64" s="1565"/>
      <c r="EF64" s="1614"/>
      <c r="EG64" s="1563"/>
      <c r="EH64" s="1565"/>
      <c r="EI64" s="1565"/>
      <c r="EJ64" s="1565"/>
      <c r="EK64" s="1613"/>
      <c r="EL64" s="1536"/>
      <c r="EM64" s="1595"/>
      <c r="EN64" s="1616"/>
      <c r="EO64" s="1568"/>
    </row>
    <row r="65" spans="1:174" s="396" customFormat="1" ht="16.5" customHeight="1" x14ac:dyDescent="0.2">
      <c r="A65" s="101">
        <v>120</v>
      </c>
      <c r="B65" s="371">
        <v>112</v>
      </c>
      <c r="C65" s="35"/>
      <c r="D65" s="35" t="str">
        <f t="shared" ref="D65:D76" si="44">IF(F65="Nam","Ông","Bà")</f>
        <v>Bà</v>
      </c>
      <c r="E65" s="40" t="s">
        <v>29</v>
      </c>
      <c r="F65" s="35" t="s">
        <v>381</v>
      </c>
      <c r="G65" s="64" t="s">
        <v>286</v>
      </c>
      <c r="H65" s="620" t="s">
        <v>360</v>
      </c>
      <c r="I65" s="64" t="s">
        <v>342</v>
      </c>
      <c r="J65" s="620" t="s">
        <v>360</v>
      </c>
      <c r="K65" s="40" t="s">
        <v>311</v>
      </c>
      <c r="L65" s="40" t="s">
        <v>452</v>
      </c>
      <c r="M65" s="40" t="str">
        <f t="shared" ref="M65:M76" si="45">IF(L65="công chức","CC",IF(L65="viên chức","VC",IF(L65="người lao động","NLĐ","- - -")))</f>
        <v>VC</v>
      </c>
      <c r="N65" s="40"/>
      <c r="O65" s="40" t="e">
        <f t="shared" ref="O65:O76" si="46">IF(AND((Q65+0)&gt;0.3,(Q65+0)&lt;1.5),"CVụ","- -")</f>
        <v>#N/A</v>
      </c>
      <c r="P65" s="40"/>
      <c r="Q65" s="40" t="e">
        <f>VLOOKUP(P65,'Du lieu lien quan'!$C$2:$H$115,2,0)</f>
        <v>#N/A</v>
      </c>
      <c r="R65" s="91" t="s">
        <v>74</v>
      </c>
      <c r="S65" s="40" t="s">
        <v>127</v>
      </c>
      <c r="T65" s="54" t="str">
        <f>VLOOKUP(Y65,'Du lieu lien quan'!$C$2:$H$60,5,0)</f>
        <v>A1</v>
      </c>
      <c r="U65" s="34" t="str">
        <f>VLOOKUP(Y65,'Du lieu lien quan'!$C$2:$H$60,6,0)</f>
        <v>- - -</v>
      </c>
      <c r="V65" s="663" t="s">
        <v>424</v>
      </c>
      <c r="W65" s="512" t="str">
        <f t="shared" ref="W65:W76" si="47">IF(OR(Y65="Kỹ thuật viên đánh máy",Y65="Nhân viên đánh máy",Y65="Nhân viên kỹ thuật",Y65="Nhân viên văn thư",Y65="Nhân viên phục vụ",Y65="Lái xe cơ quan",Y65="Nhân viên bảo vệ"),"Nhân viên",Y65)</f>
        <v>Giảng viên (hạng III)</v>
      </c>
      <c r="X65" s="373" t="str">
        <f t="shared" ref="X65:X77" si="48">IF(W65="Nhân viên","01.005",Z65)</f>
        <v>V.07.01.03</v>
      </c>
      <c r="Y65" s="397" t="s">
        <v>430</v>
      </c>
      <c r="Z65" s="397" t="str">
        <f>VLOOKUP(Y65,'Du lieu lien quan'!$C$1:$H$133,2,0)</f>
        <v>V.07.01.03</v>
      </c>
      <c r="AA65" s="52" t="str">
        <f t="shared" ref="AA65:AA77" si="49">IF(OR(AND(BC65=36,BB65=3),AND(BC65=24,BB65=2),AND(BC65=12,BB65=1)),"Đến $",IF(OR(AND(BC65&gt;36,BB65=3),AND(BC65&gt;24,BB65=2),AND(BC65&gt;12,BB65=1)),"Dừng $","Lương"))</f>
        <v>Lương</v>
      </c>
      <c r="AB65" s="508">
        <v>6</v>
      </c>
      <c r="AC65" s="495" t="s">
        <v>360</v>
      </c>
      <c r="AD65" s="208">
        <v>9</v>
      </c>
      <c r="AE65" s="44">
        <f t="shared" ref="AE65:AE77" si="50">BD65+(AB65-1)*BE65</f>
        <v>3.99</v>
      </c>
      <c r="AF65" s="44"/>
      <c r="AG65" s="44"/>
      <c r="AH65" s="81" t="s">
        <v>342</v>
      </c>
      <c r="AI65" s="75" t="s">
        <v>360</v>
      </c>
      <c r="AJ65" s="82" t="s">
        <v>372</v>
      </c>
      <c r="AK65" s="75" t="s">
        <v>360</v>
      </c>
      <c r="AL65" s="273">
        <v>2019</v>
      </c>
      <c r="AM65" s="261"/>
      <c r="AN65" s="262"/>
      <c r="AO65" s="508">
        <f>AB65+1</f>
        <v>7</v>
      </c>
      <c r="AP65" s="47" t="str">
        <f>IF(AD65=AB65,"%",IF(AD65&gt;AB65,"/"))</f>
        <v>/</v>
      </c>
      <c r="AQ65" s="624">
        <f>IF(AND(AD65=AB65,AO65=4),5,IF(AND(AD65=AB65,AO65&gt;4),AO65+1,IF(AD65&gt;AB65,AD65)))</f>
        <v>9</v>
      </c>
      <c r="AR65" s="47">
        <f>IF(AD65=AB65,"%",IF(AD65&gt;AB65,AE65+BE65))</f>
        <v>4.32</v>
      </c>
      <c r="AS65" s="47"/>
      <c r="AT65" s="81" t="s">
        <v>342</v>
      </c>
      <c r="AU65" s="75" t="s">
        <v>360</v>
      </c>
      <c r="AV65" s="82" t="s">
        <v>372</v>
      </c>
      <c r="AW65" s="75" t="s">
        <v>360</v>
      </c>
      <c r="AX65" s="273">
        <v>2022</v>
      </c>
      <c r="AY65" s="40"/>
      <c r="AZ65" s="469"/>
      <c r="BA65" s="480"/>
      <c r="BB65" s="51">
        <f t="shared" ref="BB65:BB76" si="51">IF(AND(AD65&gt;AB65,OR(BE65=0.18,BE65=0.2)),2,IF(AND(AD65&gt;AB65,OR(BE65=0.31,BE65=0.33,BE65=0.34,BE65=0.36)),3,IF(AD65=AB65,1)))</f>
        <v>3</v>
      </c>
      <c r="BC65" s="513">
        <f t="shared" ref="BC65:BC76" si="52">12*($AA$2-AX65)+($AA$3-AV65)-AM65</f>
        <v>-24274</v>
      </c>
      <c r="BD65" s="280">
        <f>VLOOKUP(Y65,'Du lieu lien quan'!$C$1:$F$60,3,0)</f>
        <v>2.34</v>
      </c>
      <c r="BE65" s="280">
        <f>VLOOKUP(Y65,'Du lieu lien quan'!$C$1:$F$60,4,0)</f>
        <v>0.33</v>
      </c>
      <c r="BF65" s="57" t="str">
        <f t="shared" ref="BF65:BF76" si="53">IF(AND(BG65&gt;3,BY65=12),"Đến %",IF(AND(BG65&gt;3,BY65&gt;12,BY65&lt;120),"Dừng %",IF(AND(BG65&gt;3,BY65&lt;12),"PCTN","o-o-o")))</f>
        <v>PCTN</v>
      </c>
      <c r="BG65" s="625">
        <v>17</v>
      </c>
      <c r="BH65" s="626" t="s">
        <v>333</v>
      </c>
      <c r="BI65" s="630" t="s">
        <v>342</v>
      </c>
      <c r="BJ65" s="627" t="s">
        <v>360</v>
      </c>
      <c r="BK65" s="420">
        <v>6</v>
      </c>
      <c r="BL65" s="627" t="s">
        <v>360</v>
      </c>
      <c r="BM65" s="650">
        <v>2021</v>
      </c>
      <c r="BN65" s="261"/>
      <c r="BO65" s="629"/>
      <c r="BP65" s="625">
        <f>IF(BG65&gt;3,BG65+1,0)</f>
        <v>18</v>
      </c>
      <c r="BQ65" s="262" t="s">
        <v>333</v>
      </c>
      <c r="BR65" s="630" t="s">
        <v>342</v>
      </c>
      <c r="BS65" s="75" t="s">
        <v>360</v>
      </c>
      <c r="BT65" s="420">
        <v>6</v>
      </c>
      <c r="BU65" s="75" t="s">
        <v>360</v>
      </c>
      <c r="BV65" s="273">
        <v>2022</v>
      </c>
      <c r="BW65" s="83"/>
      <c r="BX65" s="161">
        <v>6</v>
      </c>
      <c r="BY65" s="514">
        <f t="shared" ref="BY65:BY76" si="54">IF(BG65&gt;3,(($BF$2-BV65)*12+($BF$3-BT65)-BN65),"- - -")</f>
        <v>-24270</v>
      </c>
      <c r="BZ65" s="57" t="str">
        <f t="shared" ref="BZ65:BZ73" si="55">IF(AND(CV65="Hưu",BG65&gt;3),12-(12*(DB65-BV65)+(DA65-BT65))-BN65,"- - -")</f>
        <v>- - -</v>
      </c>
      <c r="CA65" s="392" t="str">
        <f t="shared" ref="CA65:CA76" si="56">IF(OR(S65="Ban Tổ chức - Cán bộ",S65="Văn phòng Học viện",S65="Phó Giám đốc Thường trực Học viện",S65="Phó Giám đốc Học viện"),"Chánh Văn phòng Học viện, Trưởng Ban Tổ chức - Cán bộ",IF(OR(S65="Trung tâm Ngoại ngữ",S65="Trung tâm Tin học hành chính và Công nghệ thông tin",S65="Trung tâm Tin học - Thư viện",S65="Phân viện khu vực Tây Nguyên"),"Chánh Văn phòng Học viện, Trưởng Ban Tổ chức - Cán bộ, "&amp;CONCATENATE("Giám đốc ",S65),IF(S65="Tạp chí Quản lý nhà nước","Chánh Văn phòng Học viện, Trưởng Ban Tổ chức - Cán bộ, "&amp;CONCATENATE("Tổng Biên tập ",S65),IF(S65="Văn phòng Đảng uỷ Học viện","Chánh Văn phòng Học viện, Trưởng Ban Tổ chức - Cán bộ, "&amp;CONCATENATE("Chánh",S65),IF(S65="Viện Nghiên cứu Khoa học hành chính","Chánh Văn phòng Học viện, Trưởng Ban Tổ chức - Cán bộ, "&amp;CONCATENATE("Viện Trưởng ",S65),IF(OR(S65="Cơ sở Học viện Hành chính Quốc gia khu vực miền Trung",S65="Cơ sở Học viện Hành chính Quốc gia tại Thành phố Hồ Chí Minh"),"Chánh Văn phòng Học viện, Trưởng Ban Tổ chức - Cán bộ, "&amp;CONCATENATE("Thủ trưởng ",S65),"Chánh Văn phòng Học viện, Trưởng Ban Tổ chức - Cán bộ, "&amp;CONCATENATE("Trưởng ",S65)))))))</f>
        <v>Chánh Văn phòng Học viện, Trưởng Ban Tổ chức - Cán bộ, Trưởng Ban Hợp tác quốc tế</v>
      </c>
      <c r="CB65" s="63" t="str">
        <f t="shared" ref="CB65:CB76" si="57">IF(S65="Cơ sở Học viện Hành chính khu vực miền Trung","B",IF(S65="Phân viện Khu vực Tây Nguyên","C",IF(S65="Cơ sở Học viện Hành chính tại thành phố Hồ Chí Minh","D","A")))</f>
        <v>A</v>
      </c>
      <c r="CC65" s="52" t="str">
        <f t="shared" ref="CC65:CC77" si="58">IF(AND(AO65&gt;0,AB65&lt;(AD65-1),CD65&gt;0,CD65&lt;13,OR(AND(CJ65="Cùg Ng",($CC$2-CF65)&gt;BB65),CJ65="- - -")),"Sớm TT","=&gt; s")</f>
        <v>=&gt; s</v>
      </c>
      <c r="CD65" s="52">
        <f t="shared" ref="CD65:CD76" si="59">IF(BB65=3,36-(12*($CC$2-AX65)+(12-AV65)-AM65),IF(BB65=2,24-(12*($CC$2-AX65)+(12-AV65)-AM65),"---"))</f>
        <v>24298</v>
      </c>
      <c r="CE65" s="35" t="str">
        <f t="shared" ref="CE65:CE76" si="60">IF(CF65&gt;1,"S","---")</f>
        <v>---</v>
      </c>
      <c r="CF65" s="35"/>
      <c r="CG65" s="373"/>
      <c r="CH65" s="35"/>
      <c r="CI65" s="135"/>
      <c r="CJ65" s="35" t="str">
        <f t="shared" ref="CJ65:CJ76" si="61">IF(X65=CG65,"Cùg Ng","- - -")</f>
        <v>- - -</v>
      </c>
      <c r="CK65" s="55" t="str">
        <f t="shared" ref="CK65:CK76" si="62">IF(CM65&gt;2000,"NN","- - -")</f>
        <v>- - -</v>
      </c>
      <c r="CL65" s="55"/>
      <c r="CM65" s="35"/>
      <c r="CN65" s="55"/>
      <c r="CO65" s="55"/>
      <c r="CP65" s="55" t="str">
        <f t="shared" ref="CP65:CP76" si="63">IF(CR65&gt;2000,"CN","- - -")</f>
        <v>- - -</v>
      </c>
      <c r="CQ65" s="55"/>
      <c r="CR65" s="35"/>
      <c r="CS65" s="55"/>
      <c r="CT65" s="55"/>
      <c r="CU65" s="631" t="str">
        <f t="shared" ref="CU65:CU71" si="64">IF(AND(CV65="Hưu",AB65&lt;(AD65-1),DC65&gt;0,DC65&lt;18,OR(BG65&lt;4,AND(BG65&gt;3,OR(BZ65&lt;3,BZ65&gt;5)))),"Lg Sớm",IF(AND(CV65="Hưu",AB65&gt;(AD65-2),OR(BE65=0.33,BE65=0.34),OR(BG65&lt;4,AND(BG65&gt;3,OR(BZ65&lt;3,BZ65&gt;5)))),"Nâng Ngạch",IF(AND(CV65="Hưu",BB65=1,DC65&gt;2,DC65&lt;6,OR(BG65&lt;4,AND(BG65&gt;3,OR(BZ65&lt;3,BZ65&gt;5)))),"Nâng PcVK cùng QĐ",IF(AND(CV65="Hưu",BG65&gt;3,BZ65&gt;2,BZ65&lt;6,AB65&lt;(AD65-1),DC65&gt;17,OR(BB65&gt;1,AND(BB65=1,OR(DC65&lt;3,DC65&gt;5)))),"Nâng PcNG cùng QĐ",IF(AND(CV65="Hưu",AB65&lt;(AD65-1),DC65&gt;0,DC65&lt;18,BG65&gt;3,BZ65&gt;2,BZ65&lt;6),"Nâng Lg Sớm +(PcNG cùng QĐ)",IF(AND(CV65="Hưu",AB65&gt;(AD65-2),OR(BE65=0.33,BE65=0.34),BG65&gt;3,BZ65&gt;2,BZ65&lt;6),"Nâng Ngạch +(PcNG cùng QĐ)",IF(AND(CV65="Hưu",BB65=1,DC65&gt;2,DC65&lt;6,BG65&gt;3,BZ65&gt;2,BZ65&lt;6),"Nâng (PcVK +PcNG) cùng QĐ",("---"))))))))</f>
        <v>---</v>
      </c>
      <c r="CV65" s="70" t="str">
        <f t="shared" ref="CV65:CV76" si="65">IF(AND(DG65&gt;DF65,DG65&lt;(DF65+13)),"Hưu",IF(AND(DG65&gt;(DF65+12),DG65&lt;1000),"Quá","/-/ /-/"))</f>
        <v>/-/ /-/</v>
      </c>
      <c r="CW65" s="98">
        <f t="shared" ref="CW65:CW76" si="66">IF((I65+0)&lt;12,(I65+0)+1,IF((I65+0)=12,1,IF((I65+0)&gt;12,(I65+0)-12)))</f>
        <v>2</v>
      </c>
      <c r="CX65" s="98">
        <f t="shared" ref="CX65:CX76" si="67">IF(OR((I65+0)=12,(I65+0)&gt;12),K65+DF65/12+1,IF(AND((I65+0)&gt;0,(I65+0)&lt;12),K65+DF65/12,"---"))</f>
        <v>2032</v>
      </c>
      <c r="CY65" s="98">
        <f t="shared" ref="CY65:CY76" si="68">IF(AND(CW65&gt;3,CW65&lt;13),CW65-3,IF(CW65&lt;4,CW65-3+12))</f>
        <v>11</v>
      </c>
      <c r="CZ65" s="98">
        <f t="shared" ref="CZ65:CZ76" si="69">IF(CY65&lt;CW65,CX65,IF(CY65&gt;CW65,CX65-1))</f>
        <v>2031</v>
      </c>
      <c r="DA65" s="98">
        <f t="shared" ref="DA65:DA76" si="70">IF(CW65&gt;6,CW65-6,IF(CW65=6,12,IF(CW65&lt;6,CW65+6)))</f>
        <v>8</v>
      </c>
      <c r="DB65" s="98">
        <f t="shared" ref="DB65:DB76" si="71">IF(CW65&gt;6,CX65,IF(CW65&lt;7,CX65-1))</f>
        <v>2031</v>
      </c>
      <c r="DC65" s="79" t="str">
        <f t="shared" ref="DC65:DC76" si="72">IF(AND(CV65="Hưu",BB65=3),36+AM65-(12*(DB65-AX65)+(DA65-AV65)),IF(AND(CV65="Hưu",BB65=2),24+AM65-(12*(DB65-AX65)+(DA65-AV65)),IF(AND(CV65="Hưu",BB65=1),12+AM65-(12*(DB65-AX65)+(DA65-AV65)),"- - -")))</f>
        <v>- - -</v>
      </c>
      <c r="DD65" s="632" t="str">
        <f t="shared" ref="DD65:DD76" si="73">IF(DE65&gt;0,"K.Dài",". .")</f>
        <v>. .</v>
      </c>
      <c r="DE65" s="632"/>
      <c r="DF65" s="52">
        <f t="shared" ref="DF65:DF76" si="74">IF(F65="Nam",(60+DE65)*12,IF(F65="Nữ",(55+DE65)*12,))</f>
        <v>660</v>
      </c>
      <c r="DG65" s="52">
        <f t="shared" ref="DG65:DG76" si="75">12*($CV$4-K65)+(12-I65)</f>
        <v>-23713</v>
      </c>
      <c r="DH65" s="52">
        <f t="shared" ref="DH65:DH76" si="76">$DL$4-K65</f>
        <v>-1977</v>
      </c>
      <c r="DI65" s="52" t="str">
        <f t="shared" ref="DI65:DI76" si="77">IF(AND(DH65&lt;35,F65="Nam"),"Nam dưới 35",IF(AND(DH65&lt;30,F65="Nữ"),"Nữ dưới 30",IF(AND(DH65&gt;34,DH65&lt;46,F65="Nam"),"Nam từ 35 - 45",IF(AND(DH65&gt;29,DH65&lt;41,F65="Nữ"),"Nữ từ 30 - 40",IF(AND(DH65&gt;45,DH65&lt;56,F65="Nam"),"Nam trên 45 - 55",IF(AND(DH65&gt;40,DH65&lt;51,F65="Nữ"),"Nữ trên 40 - 50",IF(AND(DH65&gt;55,F65="Nam"),"Nam trên 55","Nữ trên 50")))))))</f>
        <v>Nữ dưới 30</v>
      </c>
      <c r="DJ65" s="52"/>
      <c r="DK65" s="52"/>
      <c r="DL65" s="57" t="str">
        <f t="shared" ref="DL65:DL76" si="78">IF(DH65&lt;31,"Đến 30",IF(AND(DH65&gt;30,DH65&lt;46),"31 - 45",IF(AND(DH65&gt;45,DH65&lt;70),"Trên 45")))</f>
        <v>Đến 30</v>
      </c>
      <c r="DM65" s="55" t="str">
        <f t="shared" ref="DM65:DM76" si="79">IF(DN65&gt;0,"TD","--")</f>
        <v>--</v>
      </c>
      <c r="DN65" s="35"/>
      <c r="DO65" s="35"/>
      <c r="DP65" s="35"/>
      <c r="DQ65" s="35"/>
      <c r="DR65" s="55"/>
      <c r="DS65" s="55"/>
      <c r="DT65" s="86"/>
      <c r="DU65" s="76"/>
      <c r="DV65" s="40"/>
      <c r="DW65" s="40"/>
      <c r="DX65" s="263" t="s">
        <v>119</v>
      </c>
      <c r="DY65" s="40"/>
      <c r="DZ65" s="81" t="s">
        <v>342</v>
      </c>
      <c r="EA65" s="82" t="s">
        <v>360</v>
      </c>
      <c r="EB65" s="82" t="s">
        <v>372</v>
      </c>
      <c r="EC65" s="82" t="s">
        <v>360</v>
      </c>
      <c r="ED65" s="633">
        <v>2013</v>
      </c>
      <c r="EE65" s="82">
        <f t="shared" ref="EE65:EE76" si="80">(DZ65+0)-(EG65+0)</f>
        <v>0</v>
      </c>
      <c r="EF65" s="35" t="str">
        <f t="shared" ref="EF65:EF76" si="81">IF(EE65&gt;0,"Sửa","- - -")</f>
        <v>- - -</v>
      </c>
      <c r="EG65" s="81" t="s">
        <v>342</v>
      </c>
      <c r="EH65" s="82" t="s">
        <v>360</v>
      </c>
      <c r="EI65" s="82" t="s">
        <v>372</v>
      </c>
      <c r="EJ65" s="82" t="s">
        <v>360</v>
      </c>
      <c r="EK65" s="633">
        <v>2013</v>
      </c>
      <c r="EL65" s="35"/>
      <c r="EM65" s="55" t="str">
        <f t="shared" ref="EM65:EM77" si="82">IF(AND(BE65&gt;0.34,AO65=1,OR(BD65=6.2,BD65=5.75)),((BD65-EL65)-2*0.34),IF(AND(BE65&gt;0.33,AO65=1,OR(BD65=4.4,BD65=4)),((BD65-EL65)-2*0.33),"- - -"))</f>
        <v>- - -</v>
      </c>
      <c r="EN65" s="79" t="str">
        <f t="shared" ref="EN65:EN76" si="83">IF(CV65="Hưu",12*(DB65-AX65)+(DA65-AV65),"---")</f>
        <v>---</v>
      </c>
      <c r="EO65" s="40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8"/>
      <c r="FF65" s="98"/>
      <c r="FG65" s="98"/>
      <c r="FH65" s="98"/>
      <c r="FI65" s="98"/>
      <c r="FJ65" s="98"/>
      <c r="FK65" s="98"/>
      <c r="FL65" s="98"/>
      <c r="FM65" s="98"/>
      <c r="FN65" s="2277"/>
      <c r="FO65" s="2277"/>
      <c r="FP65" s="2277"/>
      <c r="FQ65" s="2277"/>
      <c r="FR65" s="2277"/>
    </row>
    <row r="66" spans="1:174" s="136" customFormat="1" ht="11.25" customHeight="1" x14ac:dyDescent="0.2">
      <c r="A66" s="101">
        <v>126</v>
      </c>
      <c r="B66" s="371">
        <v>146</v>
      </c>
      <c r="C66" s="35"/>
      <c r="D66" s="35" t="str">
        <f t="shared" si="44"/>
        <v>Ông</v>
      </c>
      <c r="E66" s="40" t="s">
        <v>31</v>
      </c>
      <c r="F66" s="35" t="s">
        <v>379</v>
      </c>
      <c r="G66" s="64" t="s">
        <v>343</v>
      </c>
      <c r="H66" s="620" t="s">
        <v>360</v>
      </c>
      <c r="I66" s="64" t="s">
        <v>346</v>
      </c>
      <c r="J66" s="620" t="s">
        <v>360</v>
      </c>
      <c r="K66" s="40" t="s">
        <v>22</v>
      </c>
      <c r="L66" s="40" t="s">
        <v>452</v>
      </c>
      <c r="M66" s="40" t="str">
        <f t="shared" si="45"/>
        <v>VC</v>
      </c>
      <c r="N66" s="40"/>
      <c r="O66" s="40" t="str">
        <f t="shared" si="46"/>
        <v>CVụ</v>
      </c>
      <c r="P66" s="40" t="s">
        <v>243</v>
      </c>
      <c r="Q66" s="40">
        <f>VLOOKUP(P66,'Du lieu lien quan'!$C$2:$H$115,2,0)</f>
        <v>1</v>
      </c>
      <c r="R66" s="40"/>
      <c r="S66" s="40" t="s">
        <v>555</v>
      </c>
      <c r="T66" s="38" t="str">
        <f>VLOOKUP(Y66,'Du lieu lien quan'!$C$2:$H$60,5,0)</f>
        <v>A3</v>
      </c>
      <c r="U66" s="39" t="str">
        <f>VLOOKUP(Y66,'Du lieu lien quan'!$C$2:$H$60,6,0)</f>
        <v>A3.1</v>
      </c>
      <c r="V66" s="663" t="s">
        <v>424</v>
      </c>
      <c r="W66" s="370" t="str">
        <f t="shared" si="47"/>
        <v>Giảng viên cao cấp (hạng I)</v>
      </c>
      <c r="X66" s="373" t="str">
        <f t="shared" si="48"/>
        <v>V.07.01.01</v>
      </c>
      <c r="Y66" s="397" t="s">
        <v>429</v>
      </c>
      <c r="Z66" s="397" t="str">
        <f>VLOOKUP(Y66,'Du lieu lien quan'!$C$1:$H$133,2,0)</f>
        <v>V.07.01.01</v>
      </c>
      <c r="AA66" s="468" t="str">
        <f t="shared" si="49"/>
        <v>Lương</v>
      </c>
      <c r="AB66" s="148">
        <v>6</v>
      </c>
      <c r="AC66" s="495" t="str">
        <f>IF(AD66&gt;0,"/")</f>
        <v>/</v>
      </c>
      <c r="AD66" s="43">
        <f>IF(OR(BE66=0.18,BE66=0.2),12,IF(BE66=0.31,10,IF(BE66=0.33,9,IF(BE66=0.34,8,IF(BE66=0.36,6)))))</f>
        <v>6</v>
      </c>
      <c r="AE66" s="44">
        <f t="shared" si="50"/>
        <v>8</v>
      </c>
      <c r="AF66" s="2146">
        <v>8</v>
      </c>
      <c r="AG66" s="490" t="str">
        <f>IF(AD66=AB66,"%",IF(AD66&gt;AB66,"/"))</f>
        <v>%</v>
      </c>
      <c r="AH66" s="48" t="s">
        <v>342</v>
      </c>
      <c r="AI66" s="484" t="s">
        <v>360</v>
      </c>
      <c r="AJ66" s="82" t="s">
        <v>372</v>
      </c>
      <c r="AK66" s="484" t="s">
        <v>360</v>
      </c>
      <c r="AL66" s="40">
        <v>2021</v>
      </c>
      <c r="AM66" s="162"/>
      <c r="AN66" s="53"/>
      <c r="AO66" s="324"/>
      <c r="AP66" s="256"/>
      <c r="AQ66" s="87"/>
      <c r="AR66" s="508">
        <f>IF(AND(AD66=AB66,AF66=0),5,IF(AND(AD66=AB66,AF66&gt;4),AF66+1,IF(AD66&gt;AB66,AD66)))</f>
        <v>9</v>
      </c>
      <c r="AS66" s="413" t="str">
        <f>IF(AD66=AB66,"%",IF(AD66&gt;AB66,AE66+BE66))</f>
        <v>%</v>
      </c>
      <c r="AT66" s="48" t="s">
        <v>342</v>
      </c>
      <c r="AU66" s="484" t="s">
        <v>360</v>
      </c>
      <c r="AV66" s="82" t="s">
        <v>372</v>
      </c>
      <c r="AW66" s="484" t="s">
        <v>360</v>
      </c>
      <c r="AX66" s="273">
        <v>2022</v>
      </c>
      <c r="AY66" s="91"/>
      <c r="AZ66" s="266"/>
      <c r="BA66" s="480">
        <v>10</v>
      </c>
      <c r="BB66" s="51">
        <f t="shared" si="51"/>
        <v>1</v>
      </c>
      <c r="BC66" s="328">
        <f t="shared" si="52"/>
        <v>-24274</v>
      </c>
      <c r="BD66" s="280">
        <f>VLOOKUP(Y66,'Du lieu lien quan'!$C$1:$F$60,3,0)</f>
        <v>6.2</v>
      </c>
      <c r="BE66" s="280">
        <f>VLOOKUP(Y66,'Du lieu lien quan'!$C$1:$F$60,4,0)</f>
        <v>0.36</v>
      </c>
      <c r="BF66" s="57" t="str">
        <f t="shared" si="53"/>
        <v>PCTN</v>
      </c>
      <c r="BG66" s="58">
        <v>35</v>
      </c>
      <c r="BH66" s="432" t="s">
        <v>333</v>
      </c>
      <c r="BI66" s="470" t="s">
        <v>342</v>
      </c>
      <c r="BJ66" s="489" t="s">
        <v>360</v>
      </c>
      <c r="BK66" s="420" t="s">
        <v>345</v>
      </c>
      <c r="BL66" s="489" t="s">
        <v>360</v>
      </c>
      <c r="BM66" s="650">
        <v>2021</v>
      </c>
      <c r="BN66" s="162"/>
      <c r="BO66" s="62"/>
      <c r="BP66" s="59">
        <f>IF(BG66&gt;3,BG66+1,0)</f>
        <v>36</v>
      </c>
      <c r="BQ66" s="429" t="s">
        <v>333</v>
      </c>
      <c r="BR66" s="470" t="s">
        <v>342</v>
      </c>
      <c r="BS66" s="484" t="s">
        <v>360</v>
      </c>
      <c r="BT66" s="420" t="s">
        <v>345</v>
      </c>
      <c r="BU66" s="484" t="s">
        <v>360</v>
      </c>
      <c r="BV66" s="273">
        <v>2022</v>
      </c>
      <c r="BW66" s="61"/>
      <c r="BX66" s="161">
        <v>6</v>
      </c>
      <c r="BY66" s="329">
        <f t="shared" si="54"/>
        <v>-24270</v>
      </c>
      <c r="BZ66" s="57" t="str">
        <f t="shared" si="55"/>
        <v>- - -</v>
      </c>
      <c r="CA66" s="392" t="str">
        <f t="shared" si="56"/>
        <v>Chánh Văn phòng Học viện, Trưởng Ban Tổ chức - Cán bộ, Trưởng Khoa Khoa học hành chính và Tổ chức nhân sự</v>
      </c>
      <c r="CB66" s="63" t="str">
        <f t="shared" si="57"/>
        <v>A</v>
      </c>
      <c r="CC66" s="41" t="str">
        <f t="shared" si="58"/>
        <v>=&gt; s</v>
      </c>
      <c r="CD66" s="52" t="str">
        <f t="shared" si="59"/>
        <v>---</v>
      </c>
      <c r="CE66" s="35" t="str">
        <f t="shared" si="60"/>
        <v>S</v>
      </c>
      <c r="CF66" s="35">
        <v>2012</v>
      </c>
      <c r="CG66" s="379" t="s">
        <v>427</v>
      </c>
      <c r="CH66" s="35">
        <v>2007</v>
      </c>
      <c r="CI66" s="135"/>
      <c r="CJ66" s="35" t="str">
        <f t="shared" si="61"/>
        <v>Cùg Ng</v>
      </c>
      <c r="CK66" s="55" t="str">
        <f t="shared" si="62"/>
        <v>NN</v>
      </c>
      <c r="CL66" s="65">
        <v>1</v>
      </c>
      <c r="CM66" s="66">
        <v>2009</v>
      </c>
      <c r="CN66" s="65"/>
      <c r="CO66" s="84"/>
      <c r="CP66" s="55" t="str">
        <f t="shared" si="63"/>
        <v>- - -</v>
      </c>
      <c r="CQ66" s="65"/>
      <c r="CR66" s="66"/>
      <c r="CS66" s="65"/>
      <c r="CT66" s="84"/>
      <c r="CU66" s="69" t="str">
        <f t="shared" si="64"/>
        <v>---</v>
      </c>
      <c r="CV66" s="70" t="str">
        <f t="shared" si="65"/>
        <v>/-/ /-/</v>
      </c>
      <c r="CW66" s="67">
        <f t="shared" si="66"/>
        <v>9</v>
      </c>
      <c r="CX66" s="68">
        <f t="shared" si="67"/>
        <v>2023</v>
      </c>
      <c r="CY66" s="67">
        <f t="shared" si="68"/>
        <v>6</v>
      </c>
      <c r="CZ66" s="68">
        <f t="shared" si="69"/>
        <v>2023</v>
      </c>
      <c r="DA66" s="67">
        <f t="shared" si="70"/>
        <v>3</v>
      </c>
      <c r="DB66" s="68">
        <f t="shared" si="71"/>
        <v>2023</v>
      </c>
      <c r="DC66" s="71" t="str">
        <f t="shared" si="72"/>
        <v>- - -</v>
      </c>
      <c r="DD66" s="72" t="str">
        <f t="shared" si="73"/>
        <v>K.Dài</v>
      </c>
      <c r="DE66" s="72">
        <v>7</v>
      </c>
      <c r="DF66" s="52">
        <f t="shared" si="74"/>
        <v>804</v>
      </c>
      <c r="DG66" s="52">
        <f t="shared" si="75"/>
        <v>-23468</v>
      </c>
      <c r="DH66" s="52">
        <f t="shared" si="76"/>
        <v>-1956</v>
      </c>
      <c r="DI66" s="52" t="str">
        <f t="shared" si="77"/>
        <v>Nam dưới 35</v>
      </c>
      <c r="DJ66" s="52"/>
      <c r="DK66" s="52"/>
      <c r="DL66" s="57" t="str">
        <f t="shared" si="78"/>
        <v>Đến 30</v>
      </c>
      <c r="DM66" s="65" t="str">
        <f t="shared" si="79"/>
        <v>--</v>
      </c>
      <c r="DN66" s="36"/>
      <c r="DO66" s="35"/>
      <c r="DP66" s="73"/>
      <c r="DQ66" s="36"/>
      <c r="DR66" s="84" t="s">
        <v>310</v>
      </c>
      <c r="DS66" s="85"/>
      <c r="DT66" s="86"/>
      <c r="DU66" s="76"/>
      <c r="DV66" s="91"/>
      <c r="DW66" s="37"/>
      <c r="DX66" s="391" t="s">
        <v>120</v>
      </c>
      <c r="DY66" s="37"/>
      <c r="DZ66" s="48" t="s">
        <v>342</v>
      </c>
      <c r="EA66" s="49" t="s">
        <v>360</v>
      </c>
      <c r="EB66" s="49" t="s">
        <v>372</v>
      </c>
      <c r="EC66" s="49" t="s">
        <v>360</v>
      </c>
      <c r="ED66" s="77">
        <v>2012</v>
      </c>
      <c r="EE66" s="49">
        <f t="shared" si="80"/>
        <v>0</v>
      </c>
      <c r="EF66" s="78" t="str">
        <f t="shared" si="81"/>
        <v>- - -</v>
      </c>
      <c r="EG66" s="48" t="s">
        <v>342</v>
      </c>
      <c r="EH66" s="49" t="s">
        <v>360</v>
      </c>
      <c r="EI66" s="49" t="s">
        <v>372</v>
      </c>
      <c r="EJ66" s="49" t="s">
        <v>360</v>
      </c>
      <c r="EK66" s="77">
        <v>2012</v>
      </c>
      <c r="EL66" s="35">
        <v>6.78</v>
      </c>
      <c r="EM66" s="55" t="str">
        <f t="shared" si="82"/>
        <v>- - -</v>
      </c>
      <c r="EN66" s="79" t="str">
        <f t="shared" si="83"/>
        <v>---</v>
      </c>
      <c r="EO66" s="91"/>
      <c r="EP66" s="80"/>
      <c r="EQ66" s="80"/>
      <c r="ER66" s="80"/>
      <c r="ES66" s="80"/>
      <c r="ET66" s="80"/>
      <c r="EU66" s="80"/>
      <c r="EV66" s="80"/>
      <c r="EW66" s="80"/>
      <c r="EX66" s="80"/>
      <c r="EY66" s="80"/>
      <c r="EZ66" s="80"/>
      <c r="FA66" s="80"/>
      <c r="FB66" s="80"/>
      <c r="FC66" s="80"/>
      <c r="FD66" s="80"/>
      <c r="FE66" s="80"/>
      <c r="FF66" s="80"/>
      <c r="FG66" s="80"/>
      <c r="FH66" s="80"/>
      <c r="FI66" s="80"/>
      <c r="FJ66" s="80"/>
      <c r="FK66" s="80"/>
      <c r="FL66" s="80"/>
      <c r="FM66" s="80"/>
      <c r="FN66" s="80"/>
      <c r="FO66" s="80"/>
      <c r="FP66" s="80"/>
      <c r="FQ66" s="80"/>
      <c r="FR66" s="80"/>
    </row>
    <row r="67" spans="1:174" s="255" customFormat="1" ht="11.25" customHeight="1" x14ac:dyDescent="0.2">
      <c r="A67" s="101">
        <v>354</v>
      </c>
      <c r="B67" s="517">
        <v>397</v>
      </c>
      <c r="C67" s="35"/>
      <c r="D67" s="35" t="str">
        <f t="shared" si="44"/>
        <v>Ông</v>
      </c>
      <c r="E67" s="40" t="s">
        <v>58</v>
      </c>
      <c r="F67" s="35" t="s">
        <v>379</v>
      </c>
      <c r="G67" s="64" t="s">
        <v>288</v>
      </c>
      <c r="H67" s="620" t="s">
        <v>360</v>
      </c>
      <c r="I67" s="64" t="s">
        <v>344</v>
      </c>
      <c r="J67" s="620" t="s">
        <v>360</v>
      </c>
      <c r="K67" s="40" t="s">
        <v>323</v>
      </c>
      <c r="L67" s="193" t="s">
        <v>452</v>
      </c>
      <c r="M67" s="652" t="str">
        <f t="shared" si="45"/>
        <v>VC</v>
      </c>
      <c r="N67" s="199"/>
      <c r="O67" s="621" t="str">
        <f t="shared" si="46"/>
        <v>CVụ</v>
      </c>
      <c r="P67" s="40" t="s">
        <v>249</v>
      </c>
      <c r="Q67" s="371">
        <f>VLOOKUP(P67,'Du lieu lien quan'!$C$2:$H$115,2,0)</f>
        <v>0.6</v>
      </c>
      <c r="R67" s="371" t="s">
        <v>589</v>
      </c>
      <c r="S67" s="40" t="s">
        <v>562</v>
      </c>
      <c r="T67" s="38" t="str">
        <f>VLOOKUP(Y67,'Du lieu lien quan'!$C$2:$H$60,5,0)</f>
        <v>A2</v>
      </c>
      <c r="U67" s="39" t="str">
        <f>VLOOKUP(Y67,'Du lieu lien quan'!$C$2:$H$60,6,0)</f>
        <v>A2.1</v>
      </c>
      <c r="V67" s="663" t="s">
        <v>595</v>
      </c>
      <c r="W67" s="370" t="str">
        <f t="shared" si="47"/>
        <v>Chuyên viên chính</v>
      </c>
      <c r="X67" s="373" t="str">
        <f t="shared" si="48"/>
        <v>01.002</v>
      </c>
      <c r="Y67" s="397" t="s">
        <v>352</v>
      </c>
      <c r="Z67" s="397" t="str">
        <f>VLOOKUP(Y67,'Du lieu lien quan'!$C$1:$H$133,2,0)</f>
        <v>01.002</v>
      </c>
      <c r="AA67" s="52" t="str">
        <f t="shared" si="49"/>
        <v>Lương</v>
      </c>
      <c r="AB67" s="45">
        <v>2</v>
      </c>
      <c r="AC67" s="495" t="s">
        <v>360</v>
      </c>
      <c r="AD67" s="43">
        <v>8</v>
      </c>
      <c r="AE67" s="44">
        <f t="shared" si="50"/>
        <v>4.74</v>
      </c>
      <c r="AF67" s="409"/>
      <c r="AG67" s="109"/>
      <c r="AH67" s="48" t="s">
        <v>342</v>
      </c>
      <c r="AI67" s="484" t="s">
        <v>360</v>
      </c>
      <c r="AJ67" s="82" t="s">
        <v>372</v>
      </c>
      <c r="AK67" s="484" t="s">
        <v>360</v>
      </c>
      <c r="AL67" s="273">
        <v>2019</v>
      </c>
      <c r="AM67" s="162"/>
      <c r="AN67" s="53"/>
      <c r="AO67" s="324">
        <f>AB67+1</f>
        <v>3</v>
      </c>
      <c r="AP67" s="256" t="str">
        <f>IF(AD67=AB67,"%",IF(AD67&gt;AB67,"/"))</f>
        <v>/</v>
      </c>
      <c r="AQ67" s="87">
        <f>IF(AND(AD67=AB67,AO67=4),5,IF(AND(AD67=AB67,AO67&gt;4),AO67+1,IF(AD67&gt;AB67,AD67)))</f>
        <v>8</v>
      </c>
      <c r="AR67" s="47">
        <f>IF(AD67=AB67,"%",IF(AD67&gt;AB67,AE67+BE67))</f>
        <v>5.08</v>
      </c>
      <c r="AS67" s="413"/>
      <c r="AT67" s="48" t="s">
        <v>342</v>
      </c>
      <c r="AU67" s="484" t="s">
        <v>360</v>
      </c>
      <c r="AV67" s="82" t="s">
        <v>372</v>
      </c>
      <c r="AW67" s="484" t="s">
        <v>360</v>
      </c>
      <c r="AX67" s="273">
        <v>2022</v>
      </c>
      <c r="AY67" s="91"/>
      <c r="AZ67" s="266"/>
      <c r="BA67" s="480"/>
      <c r="BB67" s="51">
        <f t="shared" si="51"/>
        <v>3</v>
      </c>
      <c r="BC67" s="328">
        <f t="shared" si="52"/>
        <v>-24274</v>
      </c>
      <c r="BD67" s="280">
        <f>VLOOKUP(Y67,'Du lieu lien quan'!$C$1:$F$60,3,0)</f>
        <v>4.4000000000000004</v>
      </c>
      <c r="BE67" s="280">
        <f>VLOOKUP(Y67,'Du lieu lien quan'!$C$1:$F$60,4,0)</f>
        <v>0.34</v>
      </c>
      <c r="BF67" s="57" t="str">
        <f t="shared" si="53"/>
        <v>o-o-o</v>
      </c>
      <c r="BG67" s="58"/>
      <c r="BH67" s="424"/>
      <c r="BI67" s="423"/>
      <c r="BJ67" s="489"/>
      <c r="BK67" s="416"/>
      <c r="BL67" s="489"/>
      <c r="BM67" s="101"/>
      <c r="BN67" s="162"/>
      <c r="BO67" s="62"/>
      <c r="BP67" s="59"/>
      <c r="BQ67" s="429"/>
      <c r="BR67" s="60"/>
      <c r="BS67" s="484"/>
      <c r="BT67" s="417"/>
      <c r="BU67" s="484"/>
      <c r="BV67" s="40"/>
      <c r="BW67" s="61"/>
      <c r="BX67" s="161"/>
      <c r="BY67" s="329" t="str">
        <f t="shared" si="54"/>
        <v>- - -</v>
      </c>
      <c r="BZ67" s="57" t="str">
        <f t="shared" si="55"/>
        <v>- - -</v>
      </c>
      <c r="CA67" s="392" t="str">
        <f t="shared" si="56"/>
        <v>Chánh Văn phòng Học viện, Trưởng Ban Tổ chức - Cán bộ, Trưởng Ban Tổ chức cán bộ</v>
      </c>
      <c r="CB67" s="63" t="str">
        <f t="shared" si="57"/>
        <v>A</v>
      </c>
      <c r="CC67" s="41" t="str">
        <f t="shared" si="58"/>
        <v>=&gt; s</v>
      </c>
      <c r="CD67" s="52">
        <f t="shared" si="59"/>
        <v>24298</v>
      </c>
      <c r="CE67" s="35" t="str">
        <f t="shared" si="60"/>
        <v>S</v>
      </c>
      <c r="CF67" s="35">
        <v>2013</v>
      </c>
      <c r="CG67" s="379" t="s">
        <v>169</v>
      </c>
      <c r="CH67" s="35"/>
      <c r="CI67" s="98"/>
      <c r="CJ67" s="35" t="str">
        <f t="shared" si="61"/>
        <v>- - -</v>
      </c>
      <c r="CK67" s="55" t="str">
        <f t="shared" si="62"/>
        <v>- - -</v>
      </c>
      <c r="CL67" s="65"/>
      <c r="CM67" s="66"/>
      <c r="CN67" s="65"/>
      <c r="CO67" s="84"/>
      <c r="CP67" s="55" t="str">
        <f t="shared" si="63"/>
        <v>CN</v>
      </c>
      <c r="CQ67" s="65">
        <v>6</v>
      </c>
      <c r="CR67" s="66">
        <v>2013</v>
      </c>
      <c r="CS67" s="65"/>
      <c r="CT67" s="84"/>
      <c r="CU67" s="69" t="str">
        <f t="shared" si="64"/>
        <v>---</v>
      </c>
      <c r="CV67" s="70" t="str">
        <f t="shared" si="65"/>
        <v>/-/ /-/</v>
      </c>
      <c r="CW67" s="67">
        <f t="shared" si="66"/>
        <v>6</v>
      </c>
      <c r="CX67" s="68">
        <f t="shared" si="67"/>
        <v>2029</v>
      </c>
      <c r="CY67" s="67">
        <f t="shared" si="68"/>
        <v>3</v>
      </c>
      <c r="CZ67" s="68">
        <f t="shared" si="69"/>
        <v>2029</v>
      </c>
      <c r="DA67" s="67">
        <f t="shared" si="70"/>
        <v>12</v>
      </c>
      <c r="DB67" s="68">
        <f t="shared" si="71"/>
        <v>2028</v>
      </c>
      <c r="DC67" s="71" t="str">
        <f t="shared" si="72"/>
        <v>- - -</v>
      </c>
      <c r="DD67" s="72" t="str">
        <f t="shared" si="73"/>
        <v>. .</v>
      </c>
      <c r="DE67" s="72"/>
      <c r="DF67" s="52">
        <f t="shared" si="74"/>
        <v>720</v>
      </c>
      <c r="DG67" s="52">
        <f t="shared" si="75"/>
        <v>-23621</v>
      </c>
      <c r="DH67" s="52">
        <f t="shared" si="76"/>
        <v>-1969</v>
      </c>
      <c r="DI67" s="52" t="str">
        <f t="shared" si="77"/>
        <v>Nam dưới 35</v>
      </c>
      <c r="DJ67" s="52"/>
      <c r="DK67" s="52"/>
      <c r="DL67" s="57" t="str">
        <f t="shared" si="78"/>
        <v>Đến 30</v>
      </c>
      <c r="DM67" s="65" t="str">
        <f t="shared" si="79"/>
        <v>--</v>
      </c>
      <c r="DN67" s="36"/>
      <c r="DO67" s="35" t="s">
        <v>147</v>
      </c>
      <c r="DP67" s="73">
        <v>6</v>
      </c>
      <c r="DQ67" s="36">
        <v>2013</v>
      </c>
      <c r="DR67" s="84"/>
      <c r="DS67" s="85"/>
      <c r="DT67" s="86"/>
      <c r="DU67" s="76"/>
      <c r="DV67" s="91"/>
      <c r="DW67" s="37"/>
      <c r="DX67" s="391" t="s">
        <v>124</v>
      </c>
      <c r="DY67" s="37"/>
      <c r="DZ67" s="48" t="s">
        <v>342</v>
      </c>
      <c r="EA67" s="49" t="s">
        <v>360</v>
      </c>
      <c r="EB67" s="42">
        <v>10</v>
      </c>
      <c r="EC67" s="49" t="s">
        <v>360</v>
      </c>
      <c r="ED67" s="77">
        <v>2013</v>
      </c>
      <c r="EE67" s="49">
        <f t="shared" si="80"/>
        <v>0</v>
      </c>
      <c r="EF67" s="78" t="str">
        <f t="shared" si="81"/>
        <v>- - -</v>
      </c>
      <c r="EG67" s="48" t="s">
        <v>342</v>
      </c>
      <c r="EH67" s="49" t="s">
        <v>360</v>
      </c>
      <c r="EI67" s="42">
        <v>10</v>
      </c>
      <c r="EJ67" s="49" t="s">
        <v>360</v>
      </c>
      <c r="EK67" s="77">
        <v>2013</v>
      </c>
      <c r="EL67" s="35"/>
      <c r="EM67" s="55" t="str">
        <f t="shared" si="82"/>
        <v>- - -</v>
      </c>
      <c r="EN67" s="79" t="str">
        <f t="shared" si="83"/>
        <v>---</v>
      </c>
      <c r="EO67" s="91"/>
      <c r="EP67" s="80"/>
      <c r="EQ67" s="80"/>
      <c r="ER67" s="80"/>
      <c r="ES67" s="80"/>
      <c r="ET67" s="80"/>
      <c r="EU67" s="80"/>
      <c r="EV67" s="80"/>
      <c r="EW67" s="80"/>
      <c r="EX67" s="80"/>
      <c r="EY67" s="80"/>
      <c r="EZ67" s="80"/>
      <c r="FA67" s="80"/>
      <c r="FB67" s="80"/>
      <c r="FC67" s="80"/>
      <c r="FD67" s="80"/>
      <c r="FE67" s="80"/>
      <c r="FF67" s="80"/>
      <c r="FG67" s="80"/>
      <c r="FH67" s="80"/>
      <c r="FI67" s="80"/>
      <c r="FJ67" s="80"/>
      <c r="FK67" s="80"/>
      <c r="FL67" s="80"/>
      <c r="FM67" s="80"/>
      <c r="FN67" s="80"/>
      <c r="FO67" s="80"/>
      <c r="FP67" s="80"/>
      <c r="FQ67" s="80"/>
      <c r="FR67" s="80"/>
    </row>
    <row r="68" spans="1:174" s="136" customFormat="1" ht="11.25" customHeight="1" x14ac:dyDescent="0.2">
      <c r="A68" s="101">
        <v>402</v>
      </c>
      <c r="B68" s="371">
        <v>34</v>
      </c>
      <c r="C68" s="35"/>
      <c r="D68" s="35" t="str">
        <f t="shared" si="44"/>
        <v>Bà</v>
      </c>
      <c r="E68" s="40" t="s">
        <v>145</v>
      </c>
      <c r="F68" s="35" t="s">
        <v>381</v>
      </c>
      <c r="G68" s="64" t="s">
        <v>332</v>
      </c>
      <c r="H68" s="620" t="s">
        <v>360</v>
      </c>
      <c r="I68" s="64" t="s">
        <v>346</v>
      </c>
      <c r="J68" s="620" t="s">
        <v>360</v>
      </c>
      <c r="K68" s="40">
        <v>1989</v>
      </c>
      <c r="L68" s="193" t="s">
        <v>452</v>
      </c>
      <c r="M68" s="652" t="str">
        <f t="shared" si="45"/>
        <v>VC</v>
      </c>
      <c r="N68" s="199"/>
      <c r="O68" s="621" t="e">
        <f t="shared" si="46"/>
        <v>#N/A</v>
      </c>
      <c r="P68" s="40"/>
      <c r="Q68" s="371" t="e">
        <f>VLOOKUP(P68,'Du lieu lien quan'!$C$2:$H$115,2,0)</f>
        <v>#N/A</v>
      </c>
      <c r="R68" s="263" t="s">
        <v>633</v>
      </c>
      <c r="S68" s="263" t="s">
        <v>554</v>
      </c>
      <c r="T68" s="38" t="str">
        <f>VLOOKUP(Y68,'Du lieu lien quan'!$C$2:$H$60,5,0)</f>
        <v>A1</v>
      </c>
      <c r="U68" s="39" t="str">
        <f>VLOOKUP(Y68,'Du lieu lien quan'!$C$2:$H$60,6,0)</f>
        <v>- - -</v>
      </c>
      <c r="V68" s="663" t="s">
        <v>425</v>
      </c>
      <c r="W68" s="370" t="str">
        <f t="shared" si="47"/>
        <v>Chuyên viên</v>
      </c>
      <c r="X68" s="373" t="str">
        <f t="shared" si="48"/>
        <v>01.003</v>
      </c>
      <c r="Y68" s="397" t="s">
        <v>340</v>
      </c>
      <c r="Z68" s="397" t="str">
        <f>VLOOKUP(Y68,'Du lieu lien quan'!$C$1:$H$133,2,0)</f>
        <v>01.003</v>
      </c>
      <c r="AA68" s="52" t="str">
        <f t="shared" si="49"/>
        <v>Lương</v>
      </c>
      <c r="AB68" s="45">
        <v>3</v>
      </c>
      <c r="AC68" s="495" t="s">
        <v>360</v>
      </c>
      <c r="AD68" s="43">
        <v>9</v>
      </c>
      <c r="AE68" s="44">
        <f t="shared" si="50"/>
        <v>3</v>
      </c>
      <c r="AF68" s="409"/>
      <c r="AG68" s="109"/>
      <c r="AH68" s="48" t="s">
        <v>342</v>
      </c>
      <c r="AI68" s="484" t="s">
        <v>360</v>
      </c>
      <c r="AJ68" s="82" t="s">
        <v>372</v>
      </c>
      <c r="AK68" s="484" t="s">
        <v>360</v>
      </c>
      <c r="AL68" s="273">
        <v>2019</v>
      </c>
      <c r="AM68" s="162"/>
      <c r="AN68" s="53"/>
      <c r="AO68" s="324">
        <f>AB68+1</f>
        <v>4</v>
      </c>
      <c r="AP68" s="256" t="str">
        <f>IF(AD68=AB68,"%",IF(AD68&gt;AB68,"/"))</f>
        <v>/</v>
      </c>
      <c r="AQ68" s="87">
        <f>IF(AND(AD68=AB68,AO68=4),5,IF(AND(AD68=AB68,AO68&gt;4),AO68+1,IF(AD68&gt;AB68,AD68)))</f>
        <v>9</v>
      </c>
      <c r="AR68" s="47">
        <f>IF(AD68=AB68,"%",IF(AD68&gt;AB68,AE68+BE68))</f>
        <v>3.33</v>
      </c>
      <c r="AS68" s="413"/>
      <c r="AT68" s="48" t="s">
        <v>342</v>
      </c>
      <c r="AU68" s="484" t="s">
        <v>360</v>
      </c>
      <c r="AV68" s="82" t="s">
        <v>372</v>
      </c>
      <c r="AW68" s="484" t="s">
        <v>360</v>
      </c>
      <c r="AX68" s="273">
        <v>2022</v>
      </c>
      <c r="AY68" s="91"/>
      <c r="AZ68" s="266" t="s">
        <v>632</v>
      </c>
      <c r="BA68" s="480"/>
      <c r="BB68" s="51">
        <f t="shared" si="51"/>
        <v>3</v>
      </c>
      <c r="BC68" s="328">
        <f t="shared" si="52"/>
        <v>-24274</v>
      </c>
      <c r="BD68" s="280">
        <f>VLOOKUP(Y68,'Du lieu lien quan'!$C$1:$F$60,3,0)</f>
        <v>2.34</v>
      </c>
      <c r="BE68" s="280">
        <f>VLOOKUP(Y68,'Du lieu lien quan'!$C$1:$F$60,4,0)</f>
        <v>0.33</v>
      </c>
      <c r="BF68" s="57" t="str">
        <f t="shared" si="53"/>
        <v>o-o-o</v>
      </c>
      <c r="BG68" s="58"/>
      <c r="BH68" s="424"/>
      <c r="BI68" s="423"/>
      <c r="BJ68" s="489"/>
      <c r="BK68" s="416"/>
      <c r="BL68" s="489"/>
      <c r="BM68" s="101"/>
      <c r="BN68" s="162"/>
      <c r="BO68" s="62"/>
      <c r="BP68" s="59"/>
      <c r="BQ68" s="429"/>
      <c r="BR68" s="60"/>
      <c r="BS68" s="484"/>
      <c r="BT68" s="417"/>
      <c r="BU68" s="484"/>
      <c r="BV68" s="40"/>
      <c r="BW68" s="61"/>
      <c r="BX68" s="161"/>
      <c r="BY68" s="329" t="str">
        <f t="shared" si="54"/>
        <v>- - -</v>
      </c>
      <c r="BZ68" s="57" t="str">
        <f t="shared" si="55"/>
        <v>- - -</v>
      </c>
      <c r="CA68" s="392" t="str">
        <f t="shared" si="56"/>
        <v>Chánh Văn phòng Học viện, Trưởng Ban Tổ chức - Cán bộ, Trưởng Ban Quản lý bồi dưỡng</v>
      </c>
      <c r="CB68" s="63" t="str">
        <f t="shared" si="57"/>
        <v>A</v>
      </c>
      <c r="CC68" s="41" t="str">
        <f t="shared" si="58"/>
        <v>=&gt; s</v>
      </c>
      <c r="CD68" s="52">
        <f t="shared" si="59"/>
        <v>24298</v>
      </c>
      <c r="CE68" s="35" t="str">
        <f t="shared" si="60"/>
        <v>---</v>
      </c>
      <c r="CF68" s="35"/>
      <c r="CG68" s="379"/>
      <c r="CH68" s="35"/>
      <c r="CI68" s="35"/>
      <c r="CJ68" s="35" t="str">
        <f t="shared" si="61"/>
        <v>- - -</v>
      </c>
      <c r="CK68" s="55" t="str">
        <f t="shared" si="62"/>
        <v>- - -</v>
      </c>
      <c r="CL68" s="65"/>
      <c r="CM68" s="66"/>
      <c r="CN68" s="65"/>
      <c r="CO68" s="84"/>
      <c r="CP68" s="55" t="str">
        <f t="shared" si="63"/>
        <v>- - -</v>
      </c>
      <c r="CQ68" s="65"/>
      <c r="CR68" s="66"/>
      <c r="CS68" s="65"/>
      <c r="CT68" s="84"/>
      <c r="CU68" s="69" t="str">
        <f t="shared" si="64"/>
        <v>---</v>
      </c>
      <c r="CV68" s="70" t="str">
        <f t="shared" si="65"/>
        <v>/-/ /-/</v>
      </c>
      <c r="CW68" s="67">
        <f t="shared" si="66"/>
        <v>9</v>
      </c>
      <c r="CX68" s="68">
        <f t="shared" si="67"/>
        <v>2044</v>
      </c>
      <c r="CY68" s="67">
        <f t="shared" si="68"/>
        <v>6</v>
      </c>
      <c r="CZ68" s="68">
        <f t="shared" si="69"/>
        <v>2044</v>
      </c>
      <c r="DA68" s="67">
        <f t="shared" si="70"/>
        <v>3</v>
      </c>
      <c r="DB68" s="68">
        <f t="shared" si="71"/>
        <v>2044</v>
      </c>
      <c r="DC68" s="71" t="str">
        <f t="shared" si="72"/>
        <v>- - -</v>
      </c>
      <c r="DD68" s="72" t="str">
        <f t="shared" si="73"/>
        <v>. .</v>
      </c>
      <c r="DE68" s="72"/>
      <c r="DF68" s="52">
        <f t="shared" si="74"/>
        <v>660</v>
      </c>
      <c r="DG68" s="52">
        <f t="shared" si="75"/>
        <v>-23864</v>
      </c>
      <c r="DH68" s="52">
        <f t="shared" si="76"/>
        <v>-1989</v>
      </c>
      <c r="DI68" s="52" t="str">
        <f t="shared" si="77"/>
        <v>Nữ dưới 30</v>
      </c>
      <c r="DJ68" s="52"/>
      <c r="DK68" s="52"/>
      <c r="DL68" s="57" t="str">
        <f t="shared" si="78"/>
        <v>Đến 30</v>
      </c>
      <c r="DM68" s="65" t="str">
        <f t="shared" si="79"/>
        <v>--</v>
      </c>
      <c r="DN68" s="36"/>
      <c r="DO68" s="95"/>
      <c r="DP68" s="73"/>
      <c r="DQ68" s="36"/>
      <c r="DR68" s="36"/>
      <c r="DS68" s="74"/>
      <c r="DT68" s="40"/>
      <c r="DU68" s="76"/>
      <c r="DV68" s="91"/>
      <c r="DW68" s="37" t="s">
        <v>16</v>
      </c>
      <c r="DX68" s="391" t="s">
        <v>117</v>
      </c>
      <c r="DY68" s="37" t="s">
        <v>16</v>
      </c>
      <c r="DZ68" s="48" t="s">
        <v>342</v>
      </c>
      <c r="EA68" s="49" t="s">
        <v>360</v>
      </c>
      <c r="EB68" s="49" t="s">
        <v>372</v>
      </c>
      <c r="EC68" s="49" t="s">
        <v>360</v>
      </c>
      <c r="ED68" s="77">
        <v>2013</v>
      </c>
      <c r="EE68" s="49">
        <f t="shared" si="80"/>
        <v>0</v>
      </c>
      <c r="EF68" s="78" t="str">
        <f t="shared" si="81"/>
        <v>- - -</v>
      </c>
      <c r="EG68" s="48" t="s">
        <v>342</v>
      </c>
      <c r="EH68" s="49" t="s">
        <v>360</v>
      </c>
      <c r="EI68" s="49" t="s">
        <v>372</v>
      </c>
      <c r="EJ68" s="49" t="s">
        <v>360</v>
      </c>
      <c r="EK68" s="77">
        <v>2013</v>
      </c>
      <c r="EL68" s="35"/>
      <c r="EM68" s="55" t="str">
        <f t="shared" si="82"/>
        <v>- - -</v>
      </c>
      <c r="EN68" s="79" t="str">
        <f t="shared" si="83"/>
        <v>---</v>
      </c>
      <c r="EO68" s="91"/>
      <c r="EP68" s="156"/>
      <c r="EQ68" s="156"/>
      <c r="ER68" s="156"/>
      <c r="ES68" s="156"/>
      <c r="ET68" s="156"/>
      <c r="EU68" s="156"/>
      <c r="EV68" s="156"/>
      <c r="EW68" s="156"/>
      <c r="EX68" s="156"/>
      <c r="EY68" s="156"/>
      <c r="EZ68" s="156"/>
      <c r="FA68" s="156"/>
      <c r="FB68" s="156"/>
      <c r="FC68" s="156"/>
      <c r="FD68" s="156"/>
      <c r="FE68" s="156"/>
      <c r="FF68" s="156"/>
      <c r="FG68" s="156"/>
      <c r="FH68" s="156"/>
      <c r="FI68" s="156"/>
      <c r="FJ68" s="156"/>
      <c r="FK68" s="156"/>
      <c r="FL68" s="156"/>
      <c r="FM68" s="80"/>
      <c r="FN68" s="323"/>
      <c r="FO68" s="323"/>
      <c r="FP68" s="323"/>
      <c r="FQ68" s="323"/>
      <c r="FR68" s="323"/>
    </row>
    <row r="69" spans="1:174" s="80" customFormat="1" ht="11.25" customHeight="1" x14ac:dyDescent="0.2">
      <c r="A69" s="101">
        <v>408</v>
      </c>
      <c r="B69" s="517">
        <v>41</v>
      </c>
      <c r="C69" s="35"/>
      <c r="D69" s="35" t="str">
        <f t="shared" si="44"/>
        <v>Bà</v>
      </c>
      <c r="E69" s="40" t="s">
        <v>8</v>
      </c>
      <c r="F69" s="35" t="s">
        <v>381</v>
      </c>
      <c r="G69" s="64" t="s">
        <v>343</v>
      </c>
      <c r="H69" s="620" t="s">
        <v>360</v>
      </c>
      <c r="I69" s="64" t="s">
        <v>350</v>
      </c>
      <c r="J69" s="620" t="s">
        <v>360</v>
      </c>
      <c r="K69" s="40">
        <v>1988</v>
      </c>
      <c r="L69" s="193" t="s">
        <v>452</v>
      </c>
      <c r="M69" s="652" t="str">
        <f t="shared" si="45"/>
        <v>VC</v>
      </c>
      <c r="N69" s="199"/>
      <c r="O69" s="621" t="e">
        <f t="shared" si="46"/>
        <v>#N/A</v>
      </c>
      <c r="P69" s="40"/>
      <c r="Q69" s="371" t="e">
        <f>VLOOKUP(P69,'Du lieu lien quan'!$C$2:$H$115,2,0)</f>
        <v>#N/A</v>
      </c>
      <c r="R69" s="263" t="s">
        <v>633</v>
      </c>
      <c r="S69" s="263" t="s">
        <v>554</v>
      </c>
      <c r="T69" s="38" t="str">
        <f>VLOOKUP(Y69,'Du lieu lien quan'!$C$2:$H$60,5,0)</f>
        <v>A1</v>
      </c>
      <c r="U69" s="39" t="str">
        <f>VLOOKUP(Y69,'Du lieu lien quan'!$C$2:$H$60,6,0)</f>
        <v>- - -</v>
      </c>
      <c r="V69" s="663" t="s">
        <v>425</v>
      </c>
      <c r="W69" s="370" t="str">
        <f t="shared" si="47"/>
        <v>Chuyên viên</v>
      </c>
      <c r="X69" s="373" t="str">
        <f t="shared" si="48"/>
        <v>01.003</v>
      </c>
      <c r="Y69" s="397" t="s">
        <v>340</v>
      </c>
      <c r="Z69" s="397" t="str">
        <f>VLOOKUP(Y69,'Du lieu lien quan'!$C$1:$H$133,2,0)</f>
        <v>01.003</v>
      </c>
      <c r="AA69" s="52" t="str">
        <f t="shared" si="49"/>
        <v>Lương</v>
      </c>
      <c r="AB69" s="45">
        <v>3</v>
      </c>
      <c r="AC69" s="495" t="s">
        <v>360</v>
      </c>
      <c r="AD69" s="43">
        <v>9</v>
      </c>
      <c r="AE69" s="44">
        <f t="shared" si="50"/>
        <v>3</v>
      </c>
      <c r="AF69" s="409"/>
      <c r="AG69" s="109"/>
      <c r="AH69" s="48" t="s">
        <v>342</v>
      </c>
      <c r="AI69" s="484" t="s">
        <v>360</v>
      </c>
      <c r="AJ69" s="82" t="s">
        <v>372</v>
      </c>
      <c r="AK69" s="484" t="s">
        <v>360</v>
      </c>
      <c r="AL69" s="273">
        <v>2019</v>
      </c>
      <c r="AM69" s="162"/>
      <c r="AN69" s="53"/>
      <c r="AO69" s="324">
        <f>AB69+1</f>
        <v>4</v>
      </c>
      <c r="AP69" s="256" t="str">
        <f>IF(AD69=AB69,"%",IF(AD69&gt;AB69,"/"))</f>
        <v>/</v>
      </c>
      <c r="AQ69" s="87">
        <f>IF(AND(AD69=AB69,AO69=4),5,IF(AND(AD69=AB69,AO69&gt;4),AO69+1,IF(AD69&gt;AB69,AD69)))</f>
        <v>9</v>
      </c>
      <c r="AR69" s="47">
        <f>IF(AD69=AB69,"%",IF(AD69&gt;AB69,AE69+BE69))</f>
        <v>3.33</v>
      </c>
      <c r="AS69" s="413"/>
      <c r="AT69" s="48" t="s">
        <v>342</v>
      </c>
      <c r="AU69" s="484" t="s">
        <v>360</v>
      </c>
      <c r="AV69" s="82" t="s">
        <v>372</v>
      </c>
      <c r="AW69" s="484" t="s">
        <v>360</v>
      </c>
      <c r="AX69" s="273">
        <v>2022</v>
      </c>
      <c r="AY69" s="91"/>
      <c r="AZ69" s="266" t="s">
        <v>632</v>
      </c>
      <c r="BA69" s="480"/>
      <c r="BB69" s="51">
        <f t="shared" si="51"/>
        <v>3</v>
      </c>
      <c r="BC69" s="328">
        <f t="shared" si="52"/>
        <v>-24274</v>
      </c>
      <c r="BD69" s="280">
        <f>VLOOKUP(Y69,'Du lieu lien quan'!$C$1:$F$60,3,0)</f>
        <v>2.34</v>
      </c>
      <c r="BE69" s="280">
        <f>VLOOKUP(Y69,'Du lieu lien quan'!$C$1:$F$60,4,0)</f>
        <v>0.33</v>
      </c>
      <c r="BF69" s="57" t="str">
        <f t="shared" si="53"/>
        <v>o-o-o</v>
      </c>
      <c r="BG69" s="58"/>
      <c r="BH69" s="424"/>
      <c r="BI69" s="423"/>
      <c r="BJ69" s="489"/>
      <c r="BK69" s="416"/>
      <c r="BL69" s="489"/>
      <c r="BM69" s="101"/>
      <c r="BN69" s="162"/>
      <c r="BO69" s="62"/>
      <c r="BP69" s="59"/>
      <c r="BQ69" s="429"/>
      <c r="BR69" s="60"/>
      <c r="BS69" s="484"/>
      <c r="BT69" s="417"/>
      <c r="BU69" s="484"/>
      <c r="BV69" s="40"/>
      <c r="BW69" s="61"/>
      <c r="BX69" s="161"/>
      <c r="BY69" s="329" t="str">
        <f t="shared" si="54"/>
        <v>- - -</v>
      </c>
      <c r="BZ69" s="57" t="str">
        <f t="shared" si="55"/>
        <v>- - -</v>
      </c>
      <c r="CA69" s="392" t="str">
        <f t="shared" si="56"/>
        <v>Chánh Văn phòng Học viện, Trưởng Ban Tổ chức - Cán bộ, Trưởng Ban Quản lý bồi dưỡng</v>
      </c>
      <c r="CB69" s="63" t="str">
        <f t="shared" si="57"/>
        <v>A</v>
      </c>
      <c r="CC69" s="41" t="str">
        <f t="shared" si="58"/>
        <v>=&gt; s</v>
      </c>
      <c r="CD69" s="52">
        <f t="shared" si="59"/>
        <v>24298</v>
      </c>
      <c r="CE69" s="35" t="str">
        <f t="shared" si="60"/>
        <v>---</v>
      </c>
      <c r="CF69" s="35"/>
      <c r="CG69" s="379"/>
      <c r="CH69" s="35"/>
      <c r="CI69" s="35"/>
      <c r="CJ69" s="35" t="str">
        <f t="shared" si="61"/>
        <v>- - -</v>
      </c>
      <c r="CK69" s="55" t="str">
        <f t="shared" si="62"/>
        <v>- - -</v>
      </c>
      <c r="CL69" s="65"/>
      <c r="CM69" s="66"/>
      <c r="CN69" s="65"/>
      <c r="CO69" s="84"/>
      <c r="CP69" s="55" t="str">
        <f t="shared" si="63"/>
        <v>- - -</v>
      </c>
      <c r="CQ69" s="65"/>
      <c r="CR69" s="66"/>
      <c r="CS69" s="65"/>
      <c r="CT69" s="84"/>
      <c r="CU69" s="69" t="str">
        <f t="shared" si="64"/>
        <v>---</v>
      </c>
      <c r="CV69" s="70" t="str">
        <f t="shared" si="65"/>
        <v>/-/ /-/</v>
      </c>
      <c r="CW69" s="67">
        <f t="shared" si="66"/>
        <v>1</v>
      </c>
      <c r="CX69" s="68">
        <f t="shared" si="67"/>
        <v>2044</v>
      </c>
      <c r="CY69" s="67">
        <f t="shared" si="68"/>
        <v>10</v>
      </c>
      <c r="CZ69" s="68">
        <f t="shared" si="69"/>
        <v>2043</v>
      </c>
      <c r="DA69" s="67">
        <f t="shared" si="70"/>
        <v>7</v>
      </c>
      <c r="DB69" s="68">
        <f t="shared" si="71"/>
        <v>2043</v>
      </c>
      <c r="DC69" s="71" t="str">
        <f t="shared" si="72"/>
        <v>- - -</v>
      </c>
      <c r="DD69" s="72" t="str">
        <f t="shared" si="73"/>
        <v>. .</v>
      </c>
      <c r="DE69" s="72"/>
      <c r="DF69" s="52">
        <f t="shared" si="74"/>
        <v>660</v>
      </c>
      <c r="DG69" s="52">
        <f t="shared" si="75"/>
        <v>-23856</v>
      </c>
      <c r="DH69" s="52">
        <f t="shared" si="76"/>
        <v>-1988</v>
      </c>
      <c r="DI69" s="52" t="str">
        <f t="shared" si="77"/>
        <v>Nữ dưới 30</v>
      </c>
      <c r="DJ69" s="52"/>
      <c r="DK69" s="52"/>
      <c r="DL69" s="57" t="str">
        <f t="shared" si="78"/>
        <v>Đến 30</v>
      </c>
      <c r="DM69" s="65" t="str">
        <f t="shared" si="79"/>
        <v>--</v>
      </c>
      <c r="DN69" s="36"/>
      <c r="DO69" s="95"/>
      <c r="DP69" s="73"/>
      <c r="DQ69" s="36"/>
      <c r="DR69" s="36"/>
      <c r="DS69" s="74"/>
      <c r="DT69" s="40"/>
      <c r="DU69" s="76" t="s">
        <v>409</v>
      </c>
      <c r="DV69" s="96" t="s">
        <v>239</v>
      </c>
      <c r="DW69" s="37" t="s">
        <v>16</v>
      </c>
      <c r="DX69" s="391" t="s">
        <v>117</v>
      </c>
      <c r="DY69" s="37" t="s">
        <v>16</v>
      </c>
      <c r="DZ69" s="48" t="s">
        <v>342</v>
      </c>
      <c r="EA69" s="49" t="s">
        <v>360</v>
      </c>
      <c r="EB69" s="49" t="s">
        <v>372</v>
      </c>
      <c r="EC69" s="49" t="s">
        <v>360</v>
      </c>
      <c r="ED69" s="77">
        <v>2013</v>
      </c>
      <c r="EE69" s="49">
        <f t="shared" si="80"/>
        <v>0</v>
      </c>
      <c r="EF69" s="78" t="str">
        <f t="shared" si="81"/>
        <v>- - -</v>
      </c>
      <c r="EG69" s="48" t="s">
        <v>342</v>
      </c>
      <c r="EH69" s="49" t="s">
        <v>360</v>
      </c>
      <c r="EI69" s="49" t="s">
        <v>372</v>
      </c>
      <c r="EJ69" s="49" t="s">
        <v>360</v>
      </c>
      <c r="EK69" s="77">
        <v>2013</v>
      </c>
      <c r="EL69" s="35"/>
      <c r="EM69" s="55" t="str">
        <f t="shared" si="82"/>
        <v>- - -</v>
      </c>
      <c r="EN69" s="79" t="str">
        <f t="shared" si="83"/>
        <v>---</v>
      </c>
      <c r="EO69" s="91"/>
      <c r="FM69" s="97"/>
    </row>
    <row r="70" spans="1:174" s="80" customFormat="1" ht="11.25" customHeight="1" x14ac:dyDescent="0.2">
      <c r="A70" s="101">
        <v>497</v>
      </c>
      <c r="B70" s="517">
        <v>501</v>
      </c>
      <c r="C70" s="272" t="s">
        <v>388</v>
      </c>
      <c r="D70" s="272" t="str">
        <f t="shared" si="44"/>
        <v>Bà</v>
      </c>
      <c r="E70" s="320" t="s">
        <v>469</v>
      </c>
      <c r="F70" s="272" t="s">
        <v>381</v>
      </c>
      <c r="G70" s="637" t="s">
        <v>374</v>
      </c>
      <c r="H70" s="638" t="s">
        <v>360</v>
      </c>
      <c r="I70" s="637" t="s">
        <v>345</v>
      </c>
      <c r="J70" s="638" t="s">
        <v>360</v>
      </c>
      <c r="K70" s="273">
        <v>1988</v>
      </c>
      <c r="L70" s="284" t="s">
        <v>452</v>
      </c>
      <c r="M70" s="277" t="str">
        <f t="shared" si="45"/>
        <v>VC</v>
      </c>
      <c r="N70" s="501"/>
      <c r="O70" s="639" t="e">
        <f t="shared" si="46"/>
        <v>#N/A</v>
      </c>
      <c r="P70" s="273"/>
      <c r="Q70" s="399" t="e">
        <f>VLOOKUP(P70,'[1]- DLiêu Gốc (Không sửa)'!$C$2:$H$116,2,0)</f>
        <v>#N/A</v>
      </c>
      <c r="R70" s="313" t="s">
        <v>3</v>
      </c>
      <c r="S70" s="2261" t="s">
        <v>419</v>
      </c>
      <c r="T70" s="275" t="str">
        <f>VLOOKUP(Y70,'Du lieu lien quan'!$C$2:$H$60,5,0)</f>
        <v>A0</v>
      </c>
      <c r="U70" s="276" t="str">
        <f>VLOOKUP(Y70,'Du lieu lien quan'!$C$2:$H$60,6,0)</f>
        <v>- - -</v>
      </c>
      <c r="V70" s="300" t="s">
        <v>425</v>
      </c>
      <c r="W70" s="401" t="str">
        <f t="shared" si="47"/>
        <v>Chuyên viên (cao đẳng)</v>
      </c>
      <c r="X70" s="300" t="str">
        <f t="shared" si="48"/>
        <v>01a.003</v>
      </c>
      <c r="Y70" s="406" t="s">
        <v>59</v>
      </c>
      <c r="Z70" s="402" t="str">
        <f>VLOOKUP(Y70,'Du lieu lien quan'!$C$1:$H$133,2,0)</f>
        <v>01a.003</v>
      </c>
      <c r="AA70" s="277" t="str">
        <f t="shared" si="49"/>
        <v>Lương</v>
      </c>
      <c r="AB70" s="2279">
        <v>4</v>
      </c>
      <c r="AC70" s="495" t="s">
        <v>360</v>
      </c>
      <c r="AD70" s="43">
        <v>10</v>
      </c>
      <c r="AE70" s="44">
        <f t="shared" si="50"/>
        <v>3.0300000000000002</v>
      </c>
      <c r="AF70" s="467"/>
      <c r="AG70" s="467"/>
      <c r="AH70" s="285" t="s">
        <v>342</v>
      </c>
      <c r="AI70" s="488" t="s">
        <v>360</v>
      </c>
      <c r="AJ70" s="2263" t="s">
        <v>349</v>
      </c>
      <c r="AK70" s="488" t="s">
        <v>360</v>
      </c>
      <c r="AL70" s="40">
        <v>2019</v>
      </c>
      <c r="AM70" s="291">
        <v>1</v>
      </c>
      <c r="AN70" s="292" t="s">
        <v>584</v>
      </c>
      <c r="AO70" s="525">
        <f>AB70+1</f>
        <v>5</v>
      </c>
      <c r="AP70" s="877" t="str">
        <f>IF(AD70=AB70,"%",IF(AD70&gt;AB70,"/"))</f>
        <v>/</v>
      </c>
      <c r="AQ70" s="283">
        <f>IF(AND(AD70=AB70,AO70=4),5,IF(AND(AD70=AB70,AO70&gt;4),AO70+1,IF(AD70&gt;AB70,AD70)))</f>
        <v>10</v>
      </c>
      <c r="AR70" s="284">
        <f>IF(AD70=AB70,"%",IF(AD70&gt;AB70,AE70+BE70))</f>
        <v>3.3400000000000003</v>
      </c>
      <c r="AS70" s="414"/>
      <c r="AT70" s="285" t="s">
        <v>342</v>
      </c>
      <c r="AU70" s="488" t="s">
        <v>360</v>
      </c>
      <c r="AV70" s="2263" t="s">
        <v>349</v>
      </c>
      <c r="AW70" s="488" t="s">
        <v>360</v>
      </c>
      <c r="AX70" s="273">
        <v>2022</v>
      </c>
      <c r="AY70" s="318"/>
      <c r="AZ70" s="474" t="s">
        <v>627</v>
      </c>
      <c r="BA70" s="481"/>
      <c r="BB70" s="290">
        <f t="shared" si="51"/>
        <v>3</v>
      </c>
      <c r="BC70" s="403">
        <f t="shared" si="52"/>
        <v>-24274</v>
      </c>
      <c r="BD70" s="280">
        <f>VLOOKUP(Y70,'Du lieu lien quan'!$C$1:$F$60,3,0)</f>
        <v>2.1</v>
      </c>
      <c r="BE70" s="280">
        <f>VLOOKUP(Y70,'Du lieu lien quan'!$C$1:$F$60,4,0)</f>
        <v>0.31</v>
      </c>
      <c r="BF70" s="293" t="str">
        <f t="shared" si="53"/>
        <v>o-o-o</v>
      </c>
      <c r="BG70" s="294"/>
      <c r="BH70" s="425"/>
      <c r="BI70" s="504"/>
      <c r="BJ70" s="488"/>
      <c r="BK70" s="421"/>
      <c r="BL70" s="488"/>
      <c r="BM70" s="273"/>
      <c r="BN70" s="291"/>
      <c r="BO70" s="297"/>
      <c r="BP70" s="295"/>
      <c r="BQ70" s="505"/>
      <c r="BR70" s="504"/>
      <c r="BS70" s="488"/>
      <c r="BT70" s="421"/>
      <c r="BU70" s="488"/>
      <c r="BV70" s="273"/>
      <c r="BW70" s="296"/>
      <c r="BX70" s="289"/>
      <c r="BY70" s="404" t="str">
        <f t="shared" si="54"/>
        <v>- - -</v>
      </c>
      <c r="BZ70" s="293" t="str">
        <f t="shared" si="55"/>
        <v>- - -</v>
      </c>
      <c r="CA70" s="273" t="str">
        <f t="shared" si="56"/>
        <v>Chánh Văn phòng Học viện, Trưởng Ban Tổ chức - Cán bộ</v>
      </c>
      <c r="CB70" s="298" t="str">
        <f t="shared" si="57"/>
        <v>A</v>
      </c>
      <c r="CC70" s="299" t="str">
        <f t="shared" si="58"/>
        <v>=&gt; s</v>
      </c>
      <c r="CD70" s="277">
        <f t="shared" si="59"/>
        <v>24298</v>
      </c>
      <c r="CE70" s="272" t="str">
        <f t="shared" si="60"/>
        <v>---</v>
      </c>
      <c r="CF70" s="272"/>
      <c r="CG70" s="388"/>
      <c r="CH70" s="272"/>
      <c r="CI70" s="405"/>
      <c r="CJ70" s="272" t="str">
        <f t="shared" si="61"/>
        <v>- - -</v>
      </c>
      <c r="CK70" s="301" t="str">
        <f t="shared" si="62"/>
        <v>- - -</v>
      </c>
      <c r="CL70" s="302"/>
      <c r="CM70" s="303"/>
      <c r="CN70" s="302"/>
      <c r="CO70" s="304"/>
      <c r="CP70" s="301" t="str">
        <f t="shared" si="63"/>
        <v>- - -</v>
      </c>
      <c r="CQ70" s="302"/>
      <c r="CR70" s="303"/>
      <c r="CS70" s="302"/>
      <c r="CT70" s="304"/>
      <c r="CU70" s="305" t="str">
        <f t="shared" si="64"/>
        <v>---</v>
      </c>
      <c r="CV70" s="306" t="str">
        <f t="shared" si="65"/>
        <v>/-/ /-/</v>
      </c>
      <c r="CW70" s="307">
        <f t="shared" si="66"/>
        <v>7</v>
      </c>
      <c r="CX70" s="308">
        <f t="shared" si="67"/>
        <v>2043</v>
      </c>
      <c r="CY70" s="307">
        <f t="shared" si="68"/>
        <v>4</v>
      </c>
      <c r="CZ70" s="308">
        <f t="shared" si="69"/>
        <v>2043</v>
      </c>
      <c r="DA70" s="307">
        <f t="shared" si="70"/>
        <v>1</v>
      </c>
      <c r="DB70" s="308">
        <f t="shared" si="71"/>
        <v>2043</v>
      </c>
      <c r="DC70" s="309" t="str">
        <f t="shared" si="72"/>
        <v>- - -</v>
      </c>
      <c r="DD70" s="310" t="str">
        <f t="shared" si="73"/>
        <v>. .</v>
      </c>
      <c r="DE70" s="310"/>
      <c r="DF70" s="277">
        <f t="shared" si="74"/>
        <v>660</v>
      </c>
      <c r="DG70" s="277">
        <f t="shared" si="75"/>
        <v>-23850</v>
      </c>
      <c r="DH70" s="277">
        <f t="shared" si="76"/>
        <v>-1988</v>
      </c>
      <c r="DI70" s="277" t="str">
        <f t="shared" si="77"/>
        <v>Nữ dưới 30</v>
      </c>
      <c r="DJ70" s="2271"/>
      <c r="DK70" s="277"/>
      <c r="DL70" s="293" t="str">
        <f t="shared" si="78"/>
        <v>Đến 30</v>
      </c>
      <c r="DM70" s="302" t="str">
        <f t="shared" si="79"/>
        <v>--</v>
      </c>
      <c r="DN70" s="274"/>
      <c r="DO70" s="272"/>
      <c r="DP70" s="311"/>
      <c r="DQ70" s="274"/>
      <c r="DR70" s="304"/>
      <c r="DS70" s="312"/>
      <c r="DT70" s="313"/>
      <c r="DU70" s="314"/>
      <c r="DV70" s="318"/>
      <c r="DW70" s="321" t="s">
        <v>3</v>
      </c>
      <c r="DX70" s="400" t="s">
        <v>419</v>
      </c>
      <c r="DY70" s="321"/>
      <c r="DZ70" s="285"/>
      <c r="EA70" s="287"/>
      <c r="EB70" s="287"/>
      <c r="EC70" s="287"/>
      <c r="ED70" s="315"/>
      <c r="EE70" s="287">
        <f t="shared" si="80"/>
        <v>0</v>
      </c>
      <c r="EF70" s="316" t="str">
        <f t="shared" si="81"/>
        <v>- - -</v>
      </c>
      <c r="EG70" s="285"/>
      <c r="EH70" s="287"/>
      <c r="EI70" s="287"/>
      <c r="EJ70" s="287"/>
      <c r="EK70" s="315"/>
      <c r="EL70" s="272"/>
      <c r="EM70" s="301" t="str">
        <f t="shared" si="82"/>
        <v>- - -</v>
      </c>
      <c r="EN70" s="317" t="str">
        <f t="shared" si="83"/>
        <v>---</v>
      </c>
      <c r="EO70" s="318"/>
      <c r="EP70" s="319"/>
      <c r="EQ70" s="319"/>
      <c r="ER70" s="319"/>
      <c r="ES70" s="319"/>
      <c r="ET70" s="319"/>
      <c r="EU70" s="319"/>
      <c r="EV70" s="319"/>
      <c r="EW70" s="319"/>
      <c r="EX70" s="319"/>
      <c r="EY70" s="319"/>
      <c r="EZ70" s="319"/>
      <c r="FA70" s="319"/>
      <c r="FB70" s="319"/>
      <c r="FC70" s="319"/>
      <c r="FD70" s="319"/>
      <c r="FE70" s="319"/>
      <c r="FF70" s="319"/>
      <c r="FG70" s="319"/>
      <c r="FH70" s="319"/>
      <c r="FI70" s="319"/>
      <c r="FJ70" s="319"/>
      <c r="FK70" s="319"/>
      <c r="FL70" s="319"/>
      <c r="FM70" s="319"/>
      <c r="FN70" s="319"/>
      <c r="FO70" s="319"/>
      <c r="FP70" s="319"/>
      <c r="FQ70" s="319"/>
      <c r="FR70" s="319"/>
    </row>
    <row r="71" spans="1:174" s="250" customFormat="1" ht="11.25" customHeight="1" x14ac:dyDescent="0.25">
      <c r="A71" s="101">
        <v>527</v>
      </c>
      <c r="B71" s="517">
        <v>531</v>
      </c>
      <c r="C71" s="252"/>
      <c r="D71" s="35" t="str">
        <f t="shared" si="44"/>
        <v>Ông</v>
      </c>
      <c r="E71" s="40" t="s">
        <v>70</v>
      </c>
      <c r="F71" s="35" t="s">
        <v>379</v>
      </c>
      <c r="G71" s="64" t="s">
        <v>285</v>
      </c>
      <c r="H71" s="620" t="s">
        <v>360</v>
      </c>
      <c r="I71" s="64" t="s">
        <v>344</v>
      </c>
      <c r="J71" s="620" t="s">
        <v>360</v>
      </c>
      <c r="K71" s="40">
        <v>1987</v>
      </c>
      <c r="L71" s="193" t="s">
        <v>434</v>
      </c>
      <c r="M71" s="652" t="str">
        <f t="shared" si="45"/>
        <v>NLĐ</v>
      </c>
      <c r="N71" s="199"/>
      <c r="O71" s="621" t="e">
        <f t="shared" si="46"/>
        <v>#N/A</v>
      </c>
      <c r="P71" s="40"/>
      <c r="Q71" s="371" t="e">
        <f>VLOOKUP(P71,'[1]- DLiêu Gốc (Không sửa)'!$C$2:$H$116,2,0)</f>
        <v>#N/A</v>
      </c>
      <c r="R71" s="40" t="s">
        <v>370</v>
      </c>
      <c r="S71" s="263" t="s">
        <v>419</v>
      </c>
      <c r="T71" s="38" t="str">
        <f>VLOOKUP(Y71,'Du lieu lien quan'!$C$2:$H$60,5,0)</f>
        <v>C</v>
      </c>
      <c r="U71" s="39" t="str">
        <f>VLOOKUP(Y71,'Du lieu lien quan'!$C$2:$H$60,6,0)</f>
        <v>Nhân viên</v>
      </c>
      <c r="V71" s="663" t="s">
        <v>425</v>
      </c>
      <c r="W71" s="370" t="str">
        <f t="shared" si="47"/>
        <v>Nhân viên</v>
      </c>
      <c r="X71" s="373" t="str">
        <f t="shared" si="48"/>
        <v>01.005</v>
      </c>
      <c r="Y71" s="397" t="s">
        <v>358</v>
      </c>
      <c r="Z71" s="397" t="str">
        <f>VLOOKUP(Y71,'Du lieu lien quan'!$C$1:$H$133,2,0)</f>
        <v>01.007</v>
      </c>
      <c r="AA71" s="52" t="str">
        <f t="shared" si="49"/>
        <v>Lương</v>
      </c>
      <c r="AB71" s="260">
        <v>6</v>
      </c>
      <c r="AC71" s="495" t="s">
        <v>360</v>
      </c>
      <c r="AD71" s="43">
        <v>12</v>
      </c>
      <c r="AE71" s="44">
        <f t="shared" si="50"/>
        <v>2.5499999999999998</v>
      </c>
      <c r="AF71" s="409"/>
      <c r="AG71" s="109"/>
      <c r="AH71" s="48" t="s">
        <v>342</v>
      </c>
      <c r="AI71" s="484" t="s">
        <v>360</v>
      </c>
      <c r="AJ71" s="82" t="s">
        <v>372</v>
      </c>
      <c r="AK71" s="484" t="s">
        <v>360</v>
      </c>
      <c r="AL71" s="40">
        <v>2020</v>
      </c>
      <c r="AM71" s="162"/>
      <c r="AN71" s="53"/>
      <c r="AO71" s="324">
        <f>AB71+1</f>
        <v>7</v>
      </c>
      <c r="AP71" s="256" t="str">
        <f>IF(AD71=AB71,"%",IF(AD71&gt;AB71,"/"))</f>
        <v>/</v>
      </c>
      <c r="AQ71" s="87">
        <f>IF(AND(AD71=AB71,AO71=4),5,IF(AND(AD71=AB71,AO71&gt;4),AO71+1,IF(AD71&gt;AB71,AD71)))</f>
        <v>12</v>
      </c>
      <c r="AR71" s="47">
        <f>IF(AD71=AB71,"%",IF(AD71&gt;AB71,AE71+BE71))</f>
        <v>2.73</v>
      </c>
      <c r="AS71" s="413"/>
      <c r="AT71" s="48" t="s">
        <v>342</v>
      </c>
      <c r="AU71" s="484" t="s">
        <v>360</v>
      </c>
      <c r="AV71" s="82" t="s">
        <v>372</v>
      </c>
      <c r="AW71" s="484" t="s">
        <v>360</v>
      </c>
      <c r="AX71" s="273">
        <v>2022</v>
      </c>
      <c r="AY71" s="91"/>
      <c r="AZ71" s="266"/>
      <c r="BA71" s="480"/>
      <c r="BB71" s="51">
        <f t="shared" si="51"/>
        <v>2</v>
      </c>
      <c r="BC71" s="328">
        <f t="shared" si="52"/>
        <v>-24274</v>
      </c>
      <c r="BD71" s="280">
        <f>VLOOKUP(Y71,'Du lieu lien quan'!$C$1:$F$60,3,0)</f>
        <v>1.65</v>
      </c>
      <c r="BE71" s="280">
        <f>VLOOKUP(Y71,'Du lieu lien quan'!$C$1:$F$60,4,0)</f>
        <v>0.18</v>
      </c>
      <c r="BF71" s="57" t="str">
        <f t="shared" si="53"/>
        <v>o-o-o</v>
      </c>
      <c r="BG71" s="58"/>
      <c r="BH71" s="424"/>
      <c r="BI71" s="423"/>
      <c r="BJ71" s="489"/>
      <c r="BK71" s="416"/>
      <c r="BL71" s="489"/>
      <c r="BM71" s="101"/>
      <c r="BN71" s="162"/>
      <c r="BO71" s="62"/>
      <c r="BP71" s="59"/>
      <c r="BQ71" s="429"/>
      <c r="BR71" s="60"/>
      <c r="BS71" s="484"/>
      <c r="BT71" s="417"/>
      <c r="BU71" s="484"/>
      <c r="BV71" s="40"/>
      <c r="BW71" s="61"/>
      <c r="BX71" s="161"/>
      <c r="BY71" s="329" t="str">
        <f t="shared" si="54"/>
        <v>- - -</v>
      </c>
      <c r="BZ71" s="57" t="str">
        <f t="shared" si="55"/>
        <v>- - -</v>
      </c>
      <c r="CA71" s="392" t="str">
        <f t="shared" si="56"/>
        <v>Chánh Văn phòng Học viện, Trưởng Ban Tổ chức - Cán bộ</v>
      </c>
      <c r="CB71" s="63" t="str">
        <f t="shared" si="57"/>
        <v>A</v>
      </c>
      <c r="CC71" s="41" t="str">
        <f t="shared" si="58"/>
        <v>=&gt; s</v>
      </c>
      <c r="CD71" s="52">
        <f t="shared" si="59"/>
        <v>24286</v>
      </c>
      <c r="CE71" s="35" t="str">
        <f t="shared" si="60"/>
        <v>---</v>
      </c>
      <c r="CF71" s="35"/>
      <c r="CG71" s="379"/>
      <c r="CH71" s="35"/>
      <c r="CI71" s="98"/>
      <c r="CJ71" s="35" t="str">
        <f t="shared" si="61"/>
        <v>- - -</v>
      </c>
      <c r="CK71" s="55" t="str">
        <f t="shared" si="62"/>
        <v>- - -</v>
      </c>
      <c r="CL71" s="65"/>
      <c r="CM71" s="66"/>
      <c r="CN71" s="65"/>
      <c r="CO71" s="84"/>
      <c r="CP71" s="55" t="str">
        <f t="shared" si="63"/>
        <v>- - -</v>
      </c>
      <c r="CQ71" s="65"/>
      <c r="CR71" s="66"/>
      <c r="CS71" s="65"/>
      <c r="CT71" s="84"/>
      <c r="CU71" s="69" t="str">
        <f t="shared" si="64"/>
        <v>---</v>
      </c>
      <c r="CV71" s="70" t="str">
        <f t="shared" si="65"/>
        <v>/-/ /-/</v>
      </c>
      <c r="CW71" s="67">
        <f t="shared" si="66"/>
        <v>6</v>
      </c>
      <c r="CX71" s="68">
        <f t="shared" si="67"/>
        <v>2047</v>
      </c>
      <c r="CY71" s="67">
        <f t="shared" si="68"/>
        <v>3</v>
      </c>
      <c r="CZ71" s="68">
        <f t="shared" si="69"/>
        <v>2047</v>
      </c>
      <c r="DA71" s="67">
        <f t="shared" si="70"/>
        <v>12</v>
      </c>
      <c r="DB71" s="68">
        <f t="shared" si="71"/>
        <v>2046</v>
      </c>
      <c r="DC71" s="71" t="str">
        <f t="shared" si="72"/>
        <v>- - -</v>
      </c>
      <c r="DD71" s="72" t="str">
        <f t="shared" si="73"/>
        <v>. .</v>
      </c>
      <c r="DE71" s="72"/>
      <c r="DF71" s="52">
        <f t="shared" si="74"/>
        <v>720</v>
      </c>
      <c r="DG71" s="52">
        <f t="shared" si="75"/>
        <v>-23837</v>
      </c>
      <c r="DH71" s="52">
        <f t="shared" si="76"/>
        <v>-1987</v>
      </c>
      <c r="DI71" s="52" t="str">
        <f t="shared" si="77"/>
        <v>Nam dưới 35</v>
      </c>
      <c r="DJ71" s="93"/>
      <c r="DK71" s="52"/>
      <c r="DL71" s="57" t="str">
        <f t="shared" si="78"/>
        <v>Đến 30</v>
      </c>
      <c r="DM71" s="376" t="str">
        <f t="shared" si="79"/>
        <v>--</v>
      </c>
      <c r="DN71" s="377"/>
      <c r="DO71" s="35"/>
      <c r="DP71" s="158"/>
      <c r="DQ71" s="36"/>
      <c r="DR71" s="36"/>
      <c r="DS71" s="74"/>
      <c r="DT71" s="40"/>
      <c r="DU71" s="76"/>
      <c r="DV71" s="91"/>
      <c r="DW71" s="37" t="s">
        <v>370</v>
      </c>
      <c r="DX71" s="391" t="s">
        <v>419</v>
      </c>
      <c r="DY71" s="37" t="s">
        <v>370</v>
      </c>
      <c r="DZ71" s="48" t="s">
        <v>342</v>
      </c>
      <c r="EA71" s="49" t="s">
        <v>360</v>
      </c>
      <c r="EB71" s="49" t="s">
        <v>372</v>
      </c>
      <c r="EC71" s="49" t="s">
        <v>360</v>
      </c>
      <c r="ED71" s="77">
        <v>2012</v>
      </c>
      <c r="EE71" s="49">
        <f t="shared" si="80"/>
        <v>0</v>
      </c>
      <c r="EF71" s="78" t="str">
        <f t="shared" si="81"/>
        <v>- - -</v>
      </c>
      <c r="EG71" s="48" t="s">
        <v>342</v>
      </c>
      <c r="EH71" s="49" t="s">
        <v>360</v>
      </c>
      <c r="EI71" s="49" t="s">
        <v>372</v>
      </c>
      <c r="EJ71" s="49" t="s">
        <v>360</v>
      </c>
      <c r="EK71" s="77">
        <v>2012</v>
      </c>
      <c r="EL71" s="35"/>
      <c r="EM71" s="55" t="str">
        <f t="shared" si="82"/>
        <v>- - -</v>
      </c>
      <c r="EN71" s="79" t="str">
        <f t="shared" si="83"/>
        <v>---</v>
      </c>
      <c r="EO71" s="91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  <c r="FE71" s="80"/>
      <c r="FF71" s="80"/>
      <c r="FG71" s="80"/>
      <c r="FH71" s="80"/>
      <c r="FI71" s="80"/>
      <c r="FJ71" s="80"/>
      <c r="FK71" s="80"/>
      <c r="FL71" s="80"/>
      <c r="FM71" s="80"/>
      <c r="FN71" s="80"/>
      <c r="FO71" s="80"/>
      <c r="FP71" s="80"/>
      <c r="FQ71" s="80"/>
      <c r="FR71" s="80"/>
    </row>
    <row r="72" spans="1:174" s="238" customFormat="1" ht="11.25" customHeight="1" x14ac:dyDescent="0.2">
      <c r="A72" s="101">
        <v>573</v>
      </c>
      <c r="B72" s="371">
        <v>1</v>
      </c>
      <c r="C72" s="203"/>
      <c r="D72" s="203" t="str">
        <f t="shared" si="44"/>
        <v>Ông</v>
      </c>
      <c r="E72" s="204" t="s">
        <v>608</v>
      </c>
      <c r="F72" s="101" t="s">
        <v>379</v>
      </c>
      <c r="G72" s="634" t="s">
        <v>372</v>
      </c>
      <c r="H72" s="265" t="s">
        <v>360</v>
      </c>
      <c r="I72" s="634" t="s">
        <v>343</v>
      </c>
      <c r="J72" s="265" t="s">
        <v>360</v>
      </c>
      <c r="K72" s="102" t="s">
        <v>331</v>
      </c>
      <c r="L72" s="193" t="s">
        <v>452</v>
      </c>
      <c r="M72" s="652" t="str">
        <f t="shared" si="45"/>
        <v>VC</v>
      </c>
      <c r="N72" s="199"/>
      <c r="O72" s="621" t="str">
        <f t="shared" si="46"/>
        <v>CVụ</v>
      </c>
      <c r="P72" s="102" t="s">
        <v>567</v>
      </c>
      <c r="Q72" s="371">
        <f>VLOOKUP(P72,'Du lieu lien quan'!$C$2:$H$115,2,0)</f>
        <v>0.8</v>
      </c>
      <c r="R72" s="640"/>
      <c r="S72" s="2182" t="s">
        <v>560</v>
      </c>
      <c r="T72" s="38" t="str">
        <f>VLOOKUP(Y72,'Du lieu lien quan'!$C$2:$H$60,5,0)</f>
        <v>A3</v>
      </c>
      <c r="U72" s="39" t="str">
        <f>VLOOKUP(Y72,'Du lieu lien quan'!$C$2:$H$60,6,0)</f>
        <v>A3.1</v>
      </c>
      <c r="V72" s="663" t="s">
        <v>425</v>
      </c>
      <c r="W72" s="370" t="str">
        <f t="shared" si="47"/>
        <v>Giảng viên cao cấp (hạng I)</v>
      </c>
      <c r="X72" s="258" t="str">
        <f t="shared" si="48"/>
        <v>V.07.01.01</v>
      </c>
      <c r="Y72" s="397" t="s">
        <v>429</v>
      </c>
      <c r="Z72" s="397" t="str">
        <f>VLOOKUP(Y72,'Du lieu lien quan'!$C$1:$H$133,2,0)</f>
        <v>V.07.01.01</v>
      </c>
      <c r="AA72" s="52" t="str">
        <f t="shared" si="49"/>
        <v>Lương</v>
      </c>
      <c r="AB72" s="207">
        <v>6</v>
      </c>
      <c r="AC72" s="495" t="str">
        <f>IF(AD72&gt;0,"/")</f>
        <v>/</v>
      </c>
      <c r="AD72" s="43">
        <f>IF(OR(BE72=0.18,BE72=0.2),12,IF(BE72=0.31,10,IF(BE72=0.33,9,IF(BE72=0.34,8,IF(BE72=0.36,6)))))</f>
        <v>6</v>
      </c>
      <c r="AE72" s="209">
        <f t="shared" si="50"/>
        <v>8</v>
      </c>
      <c r="AF72" s="220">
        <v>6</v>
      </c>
      <c r="AG72" s="490" t="str">
        <f>IF(AD72=AB72,"%",IF(AD72&gt;AB72,"/"))</f>
        <v>%</v>
      </c>
      <c r="AH72" s="211" t="s">
        <v>342</v>
      </c>
      <c r="AI72" s="499" t="s">
        <v>360</v>
      </c>
      <c r="AJ72" s="880" t="s">
        <v>372</v>
      </c>
      <c r="AK72" s="499" t="s">
        <v>360</v>
      </c>
      <c r="AL72" s="40">
        <v>2021</v>
      </c>
      <c r="AM72" s="214"/>
      <c r="AN72" s="246"/>
      <c r="AO72" s="2280"/>
      <c r="AP72" s="648"/>
      <c r="AQ72" s="210"/>
      <c r="AR72" s="508">
        <f>IF(AND(AD72=AB72,AF72=0),5,IF(AND(AD72=AB72,AF72&gt;4),AF72+1,IF(AD72&gt;AB72,AD72)))</f>
        <v>7</v>
      </c>
      <c r="AS72" s="413" t="str">
        <f>IF(AD72=AB72,"%",IF(AD72&gt;AB72,AE72+BE72))</f>
        <v>%</v>
      </c>
      <c r="AT72" s="211" t="s">
        <v>342</v>
      </c>
      <c r="AU72" s="499" t="s">
        <v>360</v>
      </c>
      <c r="AV72" s="880" t="s">
        <v>372</v>
      </c>
      <c r="AW72" s="499" t="s">
        <v>360</v>
      </c>
      <c r="AX72" s="273">
        <v>2022</v>
      </c>
      <c r="AY72" s="234"/>
      <c r="AZ72" s="478"/>
      <c r="BA72" s="483"/>
      <c r="BB72" s="51">
        <f t="shared" si="51"/>
        <v>1</v>
      </c>
      <c r="BC72" s="328">
        <f t="shared" si="52"/>
        <v>-24274</v>
      </c>
      <c r="BD72" s="280">
        <f>VLOOKUP(Y72,'Du lieu lien quan'!$C$1:$F$60,3,0)</f>
        <v>6.2</v>
      </c>
      <c r="BE72" s="280">
        <f>VLOOKUP(Y72,'Du lieu lien quan'!$C$1:$F$60,4,0)</f>
        <v>0.36</v>
      </c>
      <c r="BF72" s="216" t="str">
        <f t="shared" si="53"/>
        <v>PCTN</v>
      </c>
      <c r="BG72" s="217">
        <v>6</v>
      </c>
      <c r="BH72" s="427" t="s">
        <v>333</v>
      </c>
      <c r="BI72" s="423" t="s">
        <v>342</v>
      </c>
      <c r="BJ72" s="489" t="s">
        <v>360</v>
      </c>
      <c r="BK72" s="416" t="s">
        <v>345</v>
      </c>
      <c r="BL72" s="489" t="s">
        <v>360</v>
      </c>
      <c r="BM72" s="650">
        <v>2021</v>
      </c>
      <c r="BN72" s="214"/>
      <c r="BO72" s="218"/>
      <c r="BP72" s="59">
        <f>IF(BG72&gt;3,BG72+1,0)</f>
        <v>7</v>
      </c>
      <c r="BQ72" s="433" t="s">
        <v>333</v>
      </c>
      <c r="BR72" s="60" t="s">
        <v>342</v>
      </c>
      <c r="BS72" s="499" t="s">
        <v>360</v>
      </c>
      <c r="BT72" s="419" t="s">
        <v>345</v>
      </c>
      <c r="BU72" s="499" t="s">
        <v>360</v>
      </c>
      <c r="BV72" s="204">
        <v>2022</v>
      </c>
      <c r="BW72" s="527" t="s">
        <v>661</v>
      </c>
      <c r="BX72" s="213"/>
      <c r="BY72" s="329">
        <f t="shared" si="54"/>
        <v>-24270</v>
      </c>
      <c r="BZ72" s="216" t="str">
        <f t="shared" si="55"/>
        <v>- - -</v>
      </c>
      <c r="CA72" s="392" t="str">
        <f t="shared" si="56"/>
        <v>Chánh Văn phòng Học viện, Trưởng Ban Tổ chức - Cán bộ, Trưởng Phân viện Học viện Hành chính Quốc gia tại thành phố Huế</v>
      </c>
      <c r="CB72" s="219" t="str">
        <f t="shared" si="57"/>
        <v>A</v>
      </c>
      <c r="CC72" s="220" t="str">
        <f t="shared" si="58"/>
        <v>=&gt; s</v>
      </c>
      <c r="CD72" s="206" t="str">
        <f t="shared" si="59"/>
        <v>---</v>
      </c>
      <c r="CE72" s="203" t="str">
        <f t="shared" si="60"/>
        <v>S</v>
      </c>
      <c r="CF72" s="203">
        <v>2017</v>
      </c>
      <c r="CG72" s="389"/>
      <c r="CH72" s="203"/>
      <c r="CI72" s="203"/>
      <c r="CJ72" s="203" t="str">
        <f t="shared" si="61"/>
        <v>- - -</v>
      </c>
      <c r="CK72" s="221" t="str">
        <f t="shared" si="62"/>
        <v>- - -</v>
      </c>
      <c r="CL72" s="222"/>
      <c r="CM72" s="223"/>
      <c r="CN72" s="222"/>
      <c r="CO72" s="224"/>
      <c r="CP72" s="221" t="str">
        <f t="shared" si="63"/>
        <v>- - -</v>
      </c>
      <c r="CQ72" s="222"/>
      <c r="CR72" s="223"/>
      <c r="CS72" s="222"/>
      <c r="CT72" s="224"/>
      <c r="CU72" s="225" t="str">
        <f>IF(AND(CV72="Hưu",AB72&lt;(AD72-1),DC72&gt;0,DC72&lt;18,OR(BG72&lt;4,AND(BG72&gt;3,OR(BZ72&lt;3,BZ72&gt;5)))),"Lg Sớm",IF(AND(CV72="Hưu",AB72&gt;(AD72-2),OR(BE72=0.33,BE72=0.34),OR(BG72&lt;4,AND(BG72&gt;3,OR(BZ72&lt;3,BZ72&gt;5)))),"Nâng Ngạch??",IF(AND(CV72="Hưu",BB72=1,DC72&gt;2,DC72&lt;6,OR(BG72&lt;4,AND(BG72&gt;3,OR(BZ72&lt;3,BZ72&gt;5)))),"Nâng PcVK cùng QĐ",IF(AND(CV72="Hưu",BG72&gt;3,BZ72&gt;2,BZ72&lt;6,AB72&lt;(AD72-1),DC72&gt;17,OR(BB72&gt;1,AND(BB72=1,OR(DC72&lt;3,DC72&gt;5)))),"Nâng PcNG cùng QĐ",IF(AND(CV72="Hưu",AB72&lt;(AD72-1),DC72&gt;0,DC72&lt;18,BG72&gt;3,BZ72&gt;2,BZ72&lt;6),"Nâng Lg Sớm +(PcNG cùng QĐ)",IF(AND(CV72="Hưu",AB72&gt;(AD72-2),OR(BE72=0.33,BE72=0.34),BG72&gt;3,BZ72&gt;2,BZ72&lt;6),"Nâng Ngạch?? +(PcNG cùng QĐ)",IF(AND(CV72="Hưu",BB72=1,DC72&gt;2,DC72&lt;6,BG72&gt;3,BZ72&gt;2,BZ72&lt;6),"Nâng (PcVK +PcNG) cùng QĐ",("---"))))))))</f>
        <v>---</v>
      </c>
      <c r="CV72" s="226" t="str">
        <f t="shared" si="65"/>
        <v>/-/ /-/</v>
      </c>
      <c r="CW72" s="227">
        <f t="shared" si="66"/>
        <v>3</v>
      </c>
      <c r="CX72" s="228">
        <f t="shared" si="67"/>
        <v>2020</v>
      </c>
      <c r="CY72" s="227">
        <f t="shared" si="68"/>
        <v>12</v>
      </c>
      <c r="CZ72" s="228">
        <f t="shared" si="69"/>
        <v>2019</v>
      </c>
      <c r="DA72" s="227">
        <f t="shared" si="70"/>
        <v>9</v>
      </c>
      <c r="DB72" s="228">
        <f t="shared" si="71"/>
        <v>2019</v>
      </c>
      <c r="DC72" s="229" t="str">
        <f t="shared" si="72"/>
        <v>- - -</v>
      </c>
      <c r="DD72" s="230" t="str">
        <f t="shared" si="73"/>
        <v>. .</v>
      </c>
      <c r="DE72" s="230"/>
      <c r="DF72" s="206">
        <f t="shared" si="74"/>
        <v>720</v>
      </c>
      <c r="DG72" s="206">
        <f t="shared" si="75"/>
        <v>-23510</v>
      </c>
      <c r="DH72" s="206">
        <f t="shared" si="76"/>
        <v>-1960</v>
      </c>
      <c r="DI72" s="206" t="str">
        <f t="shared" si="77"/>
        <v>Nam dưới 35</v>
      </c>
      <c r="DJ72" s="206"/>
      <c r="DK72" s="206"/>
      <c r="DL72" s="216" t="str">
        <f t="shared" si="78"/>
        <v>Đến 30</v>
      </c>
      <c r="DM72" s="222" t="str">
        <f t="shared" si="79"/>
        <v>--</v>
      </c>
      <c r="DN72" s="205"/>
      <c r="DO72" s="231"/>
      <c r="DP72" s="215"/>
      <c r="DQ72" s="224"/>
      <c r="DR72" s="205"/>
      <c r="DS72" s="259"/>
      <c r="DT72" s="204"/>
      <c r="DU72" s="233"/>
      <c r="DV72" s="234"/>
      <c r="DW72" s="2152"/>
      <c r="DX72" s="391" t="s">
        <v>417</v>
      </c>
      <c r="DY72" s="2152"/>
      <c r="DZ72" s="211" t="s">
        <v>342</v>
      </c>
      <c r="EA72" s="212" t="s">
        <v>360</v>
      </c>
      <c r="EB72" s="212" t="s">
        <v>348</v>
      </c>
      <c r="EC72" s="212" t="s">
        <v>360</v>
      </c>
      <c r="ED72" s="235">
        <v>2012</v>
      </c>
      <c r="EE72" s="212">
        <f t="shared" si="80"/>
        <v>0</v>
      </c>
      <c r="EF72" s="236" t="str">
        <f t="shared" si="81"/>
        <v>- - -</v>
      </c>
      <c r="EG72" s="211" t="s">
        <v>342</v>
      </c>
      <c r="EH72" s="212" t="s">
        <v>360</v>
      </c>
      <c r="EI72" s="212" t="s">
        <v>348</v>
      </c>
      <c r="EJ72" s="212" t="s">
        <v>360</v>
      </c>
      <c r="EK72" s="235">
        <v>2012</v>
      </c>
      <c r="EL72" s="203"/>
      <c r="EM72" s="221" t="str">
        <f t="shared" si="82"/>
        <v>- - -</v>
      </c>
      <c r="EN72" s="237" t="str">
        <f t="shared" si="83"/>
        <v>---</v>
      </c>
      <c r="EO72" s="234"/>
      <c r="FN72" s="80"/>
      <c r="FO72" s="80"/>
      <c r="FP72" s="80"/>
      <c r="FQ72" s="80"/>
      <c r="FR72" s="80"/>
    </row>
    <row r="73" spans="1:174" s="238" customFormat="1" ht="12" customHeight="1" x14ac:dyDescent="0.2">
      <c r="A73" s="101">
        <v>607</v>
      </c>
      <c r="B73" s="371">
        <v>36</v>
      </c>
      <c r="C73" s="35"/>
      <c r="D73" s="35" t="str">
        <f t="shared" si="44"/>
        <v>Ông</v>
      </c>
      <c r="E73" s="157" t="s">
        <v>21</v>
      </c>
      <c r="F73" s="35" t="s">
        <v>379</v>
      </c>
      <c r="G73" s="64" t="s">
        <v>285</v>
      </c>
      <c r="H73" s="620" t="s">
        <v>360</v>
      </c>
      <c r="I73" s="64" t="s">
        <v>372</v>
      </c>
      <c r="J73" s="620" t="s">
        <v>360</v>
      </c>
      <c r="K73" s="40">
        <v>1982</v>
      </c>
      <c r="L73" s="193" t="s">
        <v>452</v>
      </c>
      <c r="M73" s="652" t="str">
        <f t="shared" si="45"/>
        <v>VC</v>
      </c>
      <c r="N73" s="199"/>
      <c r="O73" s="621" t="str">
        <f t="shared" si="46"/>
        <v>- -</v>
      </c>
      <c r="P73" s="40"/>
      <c r="Q73" s="371">
        <f>VLOOKUP(P73,'[3]- DLiêu Gốc -'!$B$2:$G$120,2,0)</f>
        <v>0</v>
      </c>
      <c r="R73" s="90" t="s">
        <v>620</v>
      </c>
      <c r="S73" s="2182" t="s">
        <v>560</v>
      </c>
      <c r="T73" s="38" t="str">
        <f>VLOOKUP(Y73,'[3]- DLiêu Gốc -'!$B$2:$G$54,5,0)</f>
        <v>A1</v>
      </c>
      <c r="U73" s="39" t="str">
        <f>VLOOKUP(Y73,'[3]- DLiêu Gốc -'!$B$2:$G$54,6,0)</f>
        <v>- - -</v>
      </c>
      <c r="V73" s="663" t="s">
        <v>425</v>
      </c>
      <c r="W73" s="370" t="str">
        <f t="shared" si="47"/>
        <v>Kế toán viên</v>
      </c>
      <c r="X73" s="373" t="str">
        <f t="shared" si="48"/>
        <v>06.031</v>
      </c>
      <c r="Y73" s="397" t="s">
        <v>341</v>
      </c>
      <c r="Z73" s="397" t="str">
        <f>VLOOKUP(Y73,'Du lieu lien quan'!$C$1:$H$133,2,0)</f>
        <v>06.031</v>
      </c>
      <c r="AA73" s="52" t="str">
        <f t="shared" si="49"/>
        <v>Lương</v>
      </c>
      <c r="AB73" s="175">
        <v>3</v>
      </c>
      <c r="AC73" s="495" t="s">
        <v>360</v>
      </c>
      <c r="AD73" s="208">
        <v>9</v>
      </c>
      <c r="AE73" s="44">
        <f t="shared" si="50"/>
        <v>3</v>
      </c>
      <c r="AF73" s="411"/>
      <c r="AG73" s="46"/>
      <c r="AH73" s="48" t="s">
        <v>342</v>
      </c>
      <c r="AI73" s="484" t="s">
        <v>360</v>
      </c>
      <c r="AJ73" s="82" t="s">
        <v>372</v>
      </c>
      <c r="AK73" s="484" t="s">
        <v>360</v>
      </c>
      <c r="AL73" s="273">
        <v>2019</v>
      </c>
      <c r="AM73" s="162"/>
      <c r="AN73" s="53"/>
      <c r="AO73" s="324">
        <f>AB73+1</f>
        <v>4</v>
      </c>
      <c r="AP73" s="256" t="str">
        <f>IF(AD73=AB73,"%",IF(AD73&gt;AB73,"/"))</f>
        <v>/</v>
      </c>
      <c r="AQ73" s="87">
        <f>IF(AND(AD73=AB73,AO73=4),5,IF(AND(AD73=AB73,AO73&gt;4),AO73+1,IF(AD73&gt;AB73,AD73)))</f>
        <v>9</v>
      </c>
      <c r="AR73" s="47">
        <f>IF(AD73=AB73,"%",IF(AD73&gt;AB73,AE73+BE73))</f>
        <v>3.33</v>
      </c>
      <c r="AS73" s="413"/>
      <c r="AT73" s="48" t="s">
        <v>342</v>
      </c>
      <c r="AU73" s="484" t="s">
        <v>360</v>
      </c>
      <c r="AV73" s="82" t="s">
        <v>372</v>
      </c>
      <c r="AW73" s="484" t="s">
        <v>360</v>
      </c>
      <c r="AX73" s="273">
        <v>2022</v>
      </c>
      <c r="AY73" s="91"/>
      <c r="AZ73" s="266" t="s">
        <v>634</v>
      </c>
      <c r="BA73" s="480"/>
      <c r="BB73" s="51">
        <f t="shared" si="51"/>
        <v>3</v>
      </c>
      <c r="BC73" s="328">
        <f t="shared" si="52"/>
        <v>-24274</v>
      </c>
      <c r="BD73" s="280">
        <f>VLOOKUP(Y73,'[3]- DLiêu Gốc -'!$B$1:$E$54,3,0)</f>
        <v>2.34</v>
      </c>
      <c r="BE73" s="280">
        <f>VLOOKUP(Y73,'[3]- DLiêu Gốc -'!$B$1:$E$54,4,0)</f>
        <v>0.33</v>
      </c>
      <c r="BF73" s="57" t="str">
        <f t="shared" si="53"/>
        <v>o-o-o</v>
      </c>
      <c r="BG73" s="58"/>
      <c r="BH73" s="424"/>
      <c r="BI73" s="423"/>
      <c r="BJ73" s="489"/>
      <c r="BK73" s="416"/>
      <c r="BL73" s="489"/>
      <c r="BM73" s="101"/>
      <c r="BN73" s="162"/>
      <c r="BO73" s="62"/>
      <c r="BP73" s="59"/>
      <c r="BQ73" s="429"/>
      <c r="BR73" s="60"/>
      <c r="BS73" s="484"/>
      <c r="BT73" s="417"/>
      <c r="BU73" s="484"/>
      <c r="BV73" s="40"/>
      <c r="BW73" s="94" t="s">
        <v>283</v>
      </c>
      <c r="BX73" s="161"/>
      <c r="BY73" s="329" t="str">
        <f t="shared" si="54"/>
        <v>- - -</v>
      </c>
      <c r="BZ73" s="57" t="str">
        <f t="shared" si="55"/>
        <v>- - -</v>
      </c>
      <c r="CA73" s="392" t="str">
        <f t="shared" si="56"/>
        <v>Chánh Văn phòng Học viện, Trưởng Ban Tổ chức - Cán bộ, Trưởng Phân viện Học viện Hành chính Quốc gia tại thành phố Huế</v>
      </c>
      <c r="CB73" s="63" t="str">
        <f t="shared" si="57"/>
        <v>A</v>
      </c>
      <c r="CC73" s="41" t="str">
        <f t="shared" si="58"/>
        <v>=&gt; s</v>
      </c>
      <c r="CD73" s="52">
        <f t="shared" si="59"/>
        <v>24298</v>
      </c>
      <c r="CE73" s="35" t="str">
        <f t="shared" si="60"/>
        <v>---</v>
      </c>
      <c r="CF73" s="35"/>
      <c r="CG73" s="379"/>
      <c r="CH73" s="35"/>
      <c r="CI73" s="35"/>
      <c r="CJ73" s="35" t="str">
        <f t="shared" si="61"/>
        <v>- - -</v>
      </c>
      <c r="CK73" s="55" t="str">
        <f t="shared" si="62"/>
        <v>- - -</v>
      </c>
      <c r="CL73" s="65"/>
      <c r="CM73" s="66"/>
      <c r="CN73" s="65"/>
      <c r="CO73" s="84"/>
      <c r="CP73" s="55" t="str">
        <f t="shared" si="63"/>
        <v>- - -</v>
      </c>
      <c r="CQ73" s="65"/>
      <c r="CR73" s="66"/>
      <c r="CS73" s="65"/>
      <c r="CT73" s="84"/>
      <c r="CU73" s="69" t="str">
        <f>IF(AND(CV73="Hưu",AB73&lt;(AD73-1),DC73&gt;0,DC73&lt;18,OR(BG73&lt;4,AND(BG73&gt;3,OR(BZ73&lt;3,BZ73&gt;5)))),"Lg Sớm",IF(AND(CV73="Hưu",AB73&gt;(AD73-2),OR(BE73=0.33,BE73=0.34),OR(BG73&lt;4,AND(BG73&gt;3,OR(BZ73&lt;3,BZ73&gt;5)))),"Nâng Ngạch??",IF(AND(CV73="Hưu",BB73=1,DC73&gt;2,DC73&lt;6,OR(BG73&lt;4,AND(BG73&gt;3,OR(BZ73&lt;3,BZ73&gt;5)))),"Nâng PcVK cùng QĐ",IF(AND(CV73="Hưu",BG73&gt;3,BZ73&gt;2,BZ73&lt;6,AB73&lt;(AD73-1),DC73&gt;17,OR(BB73&gt;1,AND(BB73=1,OR(DC73&lt;3,DC73&gt;5)))),"Nâng PcNG cùng QĐ",IF(AND(CV73="Hưu",AB73&lt;(AD73-1),DC73&gt;0,DC73&lt;18,BG73&gt;3,BZ73&gt;2,BZ73&lt;6),"Nâng Lg Sớm +(PcNG cùng QĐ)",IF(AND(CV73="Hưu",AB73&gt;(AD73-2),OR(BE73=0.33,BE73=0.34),BG73&gt;3,BZ73&gt;2,BZ73&lt;6),"Nâng Ngạch?? +(PcNG cùng QĐ)",IF(AND(CV73="Hưu",BB73=1,DC73&gt;2,DC73&lt;6,BG73&gt;3,BZ73&gt;2,BZ73&lt;6),"Nâng (PcVK +PcNG) cùng QĐ",("---"))))))))</f>
        <v>---</v>
      </c>
      <c r="CV73" s="70" t="str">
        <f t="shared" si="65"/>
        <v>/-/ /-/</v>
      </c>
      <c r="CW73" s="67">
        <f t="shared" si="66"/>
        <v>11</v>
      </c>
      <c r="CX73" s="68">
        <f t="shared" si="67"/>
        <v>2042</v>
      </c>
      <c r="CY73" s="67">
        <f t="shared" si="68"/>
        <v>8</v>
      </c>
      <c r="CZ73" s="68">
        <f t="shared" si="69"/>
        <v>2042</v>
      </c>
      <c r="DA73" s="67">
        <f t="shared" si="70"/>
        <v>5</v>
      </c>
      <c r="DB73" s="68">
        <f t="shared" si="71"/>
        <v>2042</v>
      </c>
      <c r="DC73" s="71" t="str">
        <f t="shared" si="72"/>
        <v>- - -</v>
      </c>
      <c r="DD73" s="72" t="str">
        <f t="shared" si="73"/>
        <v>. .</v>
      </c>
      <c r="DE73" s="72"/>
      <c r="DF73" s="52">
        <f t="shared" si="74"/>
        <v>720</v>
      </c>
      <c r="DG73" s="52">
        <f t="shared" si="75"/>
        <v>-23782</v>
      </c>
      <c r="DH73" s="52">
        <f t="shared" si="76"/>
        <v>-1982</v>
      </c>
      <c r="DI73" s="52" t="str">
        <f t="shared" si="77"/>
        <v>Nam dưới 35</v>
      </c>
      <c r="DJ73" s="52"/>
      <c r="DK73" s="52"/>
      <c r="DL73" s="57" t="str">
        <f t="shared" si="78"/>
        <v>Đến 30</v>
      </c>
      <c r="DM73" s="65" t="str">
        <f t="shared" si="79"/>
        <v>--</v>
      </c>
      <c r="DN73" s="36"/>
      <c r="DO73" s="95"/>
      <c r="DP73" s="73"/>
      <c r="DQ73" s="36"/>
      <c r="DR73" s="84"/>
      <c r="DS73" s="85"/>
      <c r="DT73" s="86"/>
      <c r="DU73" s="76"/>
      <c r="DV73" s="91"/>
      <c r="DW73" s="160" t="s">
        <v>370</v>
      </c>
      <c r="DX73" s="391" t="s">
        <v>417</v>
      </c>
      <c r="DY73" s="160" t="s">
        <v>370</v>
      </c>
      <c r="DZ73" s="48" t="s">
        <v>342</v>
      </c>
      <c r="EA73" s="49" t="s">
        <v>360</v>
      </c>
      <c r="EB73" s="49" t="s">
        <v>372</v>
      </c>
      <c r="EC73" s="49" t="s">
        <v>360</v>
      </c>
      <c r="ED73" s="77">
        <v>2014</v>
      </c>
      <c r="EE73" s="49">
        <f t="shared" si="80"/>
        <v>0</v>
      </c>
      <c r="EF73" s="78" t="str">
        <f t="shared" si="81"/>
        <v>- - -</v>
      </c>
      <c r="EG73" s="48" t="s">
        <v>342</v>
      </c>
      <c r="EH73" s="49" t="s">
        <v>360</v>
      </c>
      <c r="EI73" s="49" t="s">
        <v>372</v>
      </c>
      <c r="EJ73" s="49" t="s">
        <v>360</v>
      </c>
      <c r="EK73" s="77">
        <v>2014</v>
      </c>
      <c r="EL73" s="35"/>
      <c r="EM73" s="55" t="str">
        <f t="shared" si="82"/>
        <v>- - -</v>
      </c>
      <c r="EN73" s="79" t="str">
        <f t="shared" si="83"/>
        <v>---</v>
      </c>
      <c r="EO73" s="91"/>
      <c r="EP73" s="80"/>
      <c r="EQ73" s="80"/>
      <c r="ER73" s="80"/>
      <c r="ES73" s="80"/>
      <c r="ET73" s="80"/>
      <c r="EU73" s="80"/>
      <c r="EV73" s="80"/>
      <c r="EW73" s="80"/>
      <c r="EX73" s="80"/>
      <c r="EY73" s="80"/>
      <c r="EZ73" s="80"/>
      <c r="FA73" s="80"/>
      <c r="FB73" s="80"/>
      <c r="FC73" s="80"/>
      <c r="FD73" s="80"/>
      <c r="FE73" s="80"/>
      <c r="FF73" s="80"/>
      <c r="FG73" s="80"/>
      <c r="FH73" s="80"/>
      <c r="FI73" s="80"/>
      <c r="FJ73" s="80"/>
      <c r="FK73" s="80"/>
      <c r="FL73" s="80"/>
      <c r="FM73" s="80"/>
      <c r="FN73" s="80"/>
      <c r="FO73" s="80"/>
      <c r="FP73" s="80"/>
      <c r="FQ73" s="80"/>
      <c r="FR73" s="80"/>
    </row>
    <row r="74" spans="1:174" s="238" customFormat="1" ht="12.75" customHeight="1" x14ac:dyDescent="0.25">
      <c r="A74" s="101">
        <v>660</v>
      </c>
      <c r="B74" s="371">
        <v>8</v>
      </c>
      <c r="C74" s="35"/>
      <c r="D74" s="35" t="str">
        <f t="shared" si="44"/>
        <v>Bà</v>
      </c>
      <c r="E74" s="40" t="s">
        <v>84</v>
      </c>
      <c r="F74" s="35" t="s">
        <v>381</v>
      </c>
      <c r="G74" s="64" t="s">
        <v>279</v>
      </c>
      <c r="H74" s="620" t="s">
        <v>360</v>
      </c>
      <c r="I74" s="64" t="s">
        <v>377</v>
      </c>
      <c r="J74" s="620" t="s">
        <v>360</v>
      </c>
      <c r="K74" s="40" t="s">
        <v>13</v>
      </c>
      <c r="L74" s="193" t="s">
        <v>452</v>
      </c>
      <c r="M74" s="652" t="str">
        <f t="shared" si="45"/>
        <v>VC</v>
      </c>
      <c r="N74" s="199"/>
      <c r="O74" s="621" t="e">
        <f t="shared" si="46"/>
        <v>#N/A</v>
      </c>
      <c r="P74" s="40"/>
      <c r="Q74" s="371" t="e">
        <f>VLOOKUP(P74,'[1]- DLiêu Gốc (Không sửa)'!$C$2:$H$116,2,0)</f>
        <v>#N/A</v>
      </c>
      <c r="R74" s="174" t="s">
        <v>621</v>
      </c>
      <c r="S74" s="646" t="s">
        <v>557</v>
      </c>
      <c r="T74" s="38" t="str">
        <f>VLOOKUP(Y74,'Du lieu lien quan'!$C$2:$H$60,5,0)</f>
        <v>A1</v>
      </c>
      <c r="U74" s="39" t="str">
        <f>VLOOKUP(Y74,'Du lieu lien quan'!$C$2:$H$60,6,0)</f>
        <v>- - -</v>
      </c>
      <c r="V74" s="663" t="s">
        <v>424</v>
      </c>
      <c r="W74" s="370" t="str">
        <f t="shared" si="47"/>
        <v>Giảng viên (hạng III)</v>
      </c>
      <c r="X74" s="373" t="str">
        <f t="shared" si="48"/>
        <v>V.07.01.03</v>
      </c>
      <c r="Y74" s="397" t="s">
        <v>430</v>
      </c>
      <c r="Z74" s="397" t="str">
        <f>VLOOKUP(Y74,'Du lieu lien quan'!$C$1:$H$133,2,0)</f>
        <v>V.07.01.03</v>
      </c>
      <c r="AA74" s="52" t="str">
        <f t="shared" si="49"/>
        <v>Lương</v>
      </c>
      <c r="AB74" s="175">
        <v>4</v>
      </c>
      <c r="AC74" s="495" t="s">
        <v>360</v>
      </c>
      <c r="AD74" s="208">
        <v>9</v>
      </c>
      <c r="AE74" s="44">
        <f t="shared" si="50"/>
        <v>3.33</v>
      </c>
      <c r="AF74" s="409"/>
      <c r="AG74" s="109"/>
      <c r="AH74" s="48" t="s">
        <v>342</v>
      </c>
      <c r="AI74" s="484" t="s">
        <v>360</v>
      </c>
      <c r="AJ74" s="82" t="s">
        <v>372</v>
      </c>
      <c r="AK74" s="484" t="s">
        <v>360</v>
      </c>
      <c r="AL74" s="40">
        <v>2019</v>
      </c>
      <c r="AM74" s="162"/>
      <c r="AN74" s="53"/>
      <c r="AO74" s="324">
        <f>AB74+1</f>
        <v>5</v>
      </c>
      <c r="AP74" s="256" t="str">
        <f>IF(AD74=AB74,"%",IF(AD74&gt;AB74,"/"))</f>
        <v>/</v>
      </c>
      <c r="AQ74" s="87">
        <f>IF(AND(AD74=AB74,AO74=4),5,IF(AND(AD74=AB74,AO74&gt;4),AO74+1,IF(AD74&gt;AB74,AD74)))</f>
        <v>9</v>
      </c>
      <c r="AR74" s="47">
        <f>IF(AD74=AB74,"%",IF(AD74&gt;AB74,AE74+BE74))</f>
        <v>3.66</v>
      </c>
      <c r="AS74" s="413"/>
      <c r="AT74" s="48" t="s">
        <v>342</v>
      </c>
      <c r="AU74" s="484" t="s">
        <v>360</v>
      </c>
      <c r="AV74" s="82" t="s">
        <v>372</v>
      </c>
      <c r="AW74" s="484" t="s">
        <v>360</v>
      </c>
      <c r="AX74" s="273">
        <v>2022</v>
      </c>
      <c r="AY74" s="91"/>
      <c r="AZ74" s="266" t="s">
        <v>647</v>
      </c>
      <c r="BA74" s="480"/>
      <c r="BB74" s="51">
        <f t="shared" si="51"/>
        <v>3</v>
      </c>
      <c r="BC74" s="328">
        <f t="shared" si="52"/>
        <v>-24274</v>
      </c>
      <c r="BD74" s="280">
        <f>VLOOKUP(Y74,'Du lieu lien quan'!$C$1:$F$60,3,0)</f>
        <v>2.34</v>
      </c>
      <c r="BE74" s="280">
        <f>VLOOKUP(Y74,'Du lieu lien quan'!$C$1:$F$60,4,0)</f>
        <v>0.33</v>
      </c>
      <c r="BF74" s="57" t="str">
        <f t="shared" si="53"/>
        <v>PCTN</v>
      </c>
      <c r="BG74" s="58">
        <v>10</v>
      </c>
      <c r="BH74" s="424" t="s">
        <v>333</v>
      </c>
      <c r="BI74" s="60" t="s">
        <v>342</v>
      </c>
      <c r="BJ74" s="484" t="s">
        <v>360</v>
      </c>
      <c r="BK74" s="420" t="s">
        <v>348</v>
      </c>
      <c r="BL74" s="484" t="s">
        <v>360</v>
      </c>
      <c r="BM74" s="40">
        <v>2021</v>
      </c>
      <c r="BN74" s="162"/>
      <c r="BO74" s="62"/>
      <c r="BP74" s="59">
        <f>IF(BG74&gt;3,BG74+1,0)</f>
        <v>11</v>
      </c>
      <c r="BQ74" s="429" t="s">
        <v>333</v>
      </c>
      <c r="BR74" s="60" t="s">
        <v>342</v>
      </c>
      <c r="BS74" s="484" t="s">
        <v>360</v>
      </c>
      <c r="BT74" s="420" t="s">
        <v>348</v>
      </c>
      <c r="BU74" s="484" t="s">
        <v>360</v>
      </c>
      <c r="BV74" s="650">
        <v>2022</v>
      </c>
      <c r="BW74" s="61" t="s">
        <v>646</v>
      </c>
      <c r="BX74" s="161"/>
      <c r="BY74" s="329">
        <f t="shared" si="54"/>
        <v>-24271</v>
      </c>
      <c r="BZ74" s="120" t="e">
        <f>IF(BH74&gt;3,(($BG$2-BW74)*12+($BG$4-BU74)-BO74),"- - -")</f>
        <v>#VALUE!</v>
      </c>
      <c r="CA74" s="392" t="str">
        <f t="shared" si="56"/>
        <v>Chánh Văn phòng Học viện, Trưởng Ban Tổ chức - Cán bộ, Trưởng Phân viện Học viện Hành chính Quốc gia tại Thành phố Hồ Chí Minh</v>
      </c>
      <c r="CB74" s="63" t="str">
        <f t="shared" si="57"/>
        <v>A</v>
      </c>
      <c r="CC74" s="41" t="str">
        <f t="shared" si="58"/>
        <v>=&gt; s</v>
      </c>
      <c r="CD74" s="52">
        <f t="shared" si="59"/>
        <v>24298</v>
      </c>
      <c r="CE74" s="35" t="str">
        <f t="shared" si="60"/>
        <v>---</v>
      </c>
      <c r="CF74" s="35"/>
      <c r="CG74" s="379"/>
      <c r="CH74" s="35"/>
      <c r="CI74" s="35"/>
      <c r="CJ74" s="35" t="str">
        <f t="shared" si="61"/>
        <v>- - -</v>
      </c>
      <c r="CK74" s="55" t="str">
        <f t="shared" si="62"/>
        <v>- - -</v>
      </c>
      <c r="CL74" s="65"/>
      <c r="CM74" s="66"/>
      <c r="CN74" s="65"/>
      <c r="CO74" s="84"/>
      <c r="CP74" s="55" t="str">
        <f t="shared" si="63"/>
        <v>- - -</v>
      </c>
      <c r="CQ74" s="65"/>
      <c r="CR74" s="66"/>
      <c r="CS74" s="65"/>
      <c r="CT74" s="84"/>
      <c r="CU74" s="69" t="e">
        <f>IF(AND(CV74="Hưu",AB74&lt;(AD74-1),DC74&gt;0,DC74&lt;18,OR(BG74&lt;4,AND(BG74&gt;3,OR(BZ74&lt;3,BZ74&gt;5)))),"Lg Sớm",IF(AND(CV74="Hưu",AB74&gt;(AD74-2),OR(BE74=0.33,BE74=0.34),OR(BG74&lt;4,AND(BG74&gt;3,OR(BZ74&lt;3,BZ74&gt;5)))),"Nâng Ngạch",IF(AND(CV74="Hưu",BB74=1,DC74&gt;2,DC74&lt;6,OR(BG74&lt;4,AND(BG74&gt;3,OR(BZ74&lt;3,BZ74&gt;5)))),"Nâng PcVK cùng QĐ",IF(AND(CV74="Hưu",BG74&gt;3,BZ74&gt;2,BZ74&lt;6,AB74&lt;(AD74-1),DC74&gt;17,OR(BB74&gt;1,AND(BB74=1,OR(DC74&lt;3,DC74&gt;5)))),"Nâng PcNG cùng QĐ",IF(AND(CV74="Hưu",AB74&lt;(AD74-1),DC74&gt;0,DC74&lt;18,BG74&gt;3,BZ74&gt;2,BZ74&lt;6),"Nâng Lg Sớm +(PcNG cùng QĐ)",IF(AND(CV74="Hưu",AB74&gt;(AD74-2),OR(BE74=0.33,BE74=0.34),BG74&gt;3,BZ74&gt;2,BZ74&lt;6),"Nâng Ngạch +(PcNG cùng QĐ)",IF(AND(CV74="Hưu",BB74=1,DC74&gt;2,DC74&lt;6,BG74&gt;3,BZ74&gt;2,BZ74&lt;6),"Nâng (PcVK +PcNG) cùng QĐ",("---"))))))))</f>
        <v>#VALUE!</v>
      </c>
      <c r="CV74" s="70" t="str">
        <f t="shared" si="65"/>
        <v>/-/ /-/</v>
      </c>
      <c r="CW74" s="67">
        <f t="shared" si="66"/>
        <v>5</v>
      </c>
      <c r="CX74" s="68">
        <f t="shared" si="67"/>
        <v>2042</v>
      </c>
      <c r="CY74" s="67">
        <f t="shared" si="68"/>
        <v>2</v>
      </c>
      <c r="CZ74" s="68">
        <f t="shared" si="69"/>
        <v>2042</v>
      </c>
      <c r="DA74" s="67">
        <f t="shared" si="70"/>
        <v>11</v>
      </c>
      <c r="DB74" s="68">
        <f t="shared" si="71"/>
        <v>2041</v>
      </c>
      <c r="DC74" s="71" t="str">
        <f t="shared" si="72"/>
        <v>- - -</v>
      </c>
      <c r="DD74" s="72" t="str">
        <f t="shared" si="73"/>
        <v>. .</v>
      </c>
      <c r="DE74" s="72"/>
      <c r="DF74" s="52">
        <f t="shared" si="74"/>
        <v>660</v>
      </c>
      <c r="DG74" s="52">
        <f t="shared" si="75"/>
        <v>-23836</v>
      </c>
      <c r="DH74" s="52">
        <f t="shared" si="76"/>
        <v>-1987</v>
      </c>
      <c r="DI74" s="52" t="str">
        <f t="shared" si="77"/>
        <v>Nữ dưới 30</v>
      </c>
      <c r="DJ74" s="52"/>
      <c r="DK74" s="52"/>
      <c r="DL74" s="57" t="str">
        <f t="shared" si="78"/>
        <v>Đến 30</v>
      </c>
      <c r="DM74" s="183" t="str">
        <f t="shared" si="79"/>
        <v>--</v>
      </c>
      <c r="DN74" s="182"/>
      <c r="DO74" s="35"/>
      <c r="DP74" s="182"/>
      <c r="DQ74" s="36"/>
      <c r="DR74" s="36"/>
      <c r="DS74" s="74"/>
      <c r="DT74" s="40"/>
      <c r="DU74" s="76"/>
      <c r="DV74" s="91"/>
      <c r="DW74" s="37" t="s">
        <v>82</v>
      </c>
      <c r="DX74" s="391" t="s">
        <v>416</v>
      </c>
      <c r="DY74" s="37" t="s">
        <v>82</v>
      </c>
      <c r="DZ74" s="48" t="s">
        <v>342</v>
      </c>
      <c r="EA74" s="49" t="s">
        <v>360</v>
      </c>
      <c r="EB74" s="374" t="s">
        <v>348</v>
      </c>
      <c r="EC74" s="49" t="s">
        <v>360</v>
      </c>
      <c r="ED74" s="77" t="s">
        <v>364</v>
      </c>
      <c r="EE74" s="49">
        <f t="shared" si="80"/>
        <v>0</v>
      </c>
      <c r="EF74" s="78" t="str">
        <f t="shared" si="81"/>
        <v>- - -</v>
      </c>
      <c r="EG74" s="48" t="s">
        <v>342</v>
      </c>
      <c r="EH74" s="49" t="s">
        <v>360</v>
      </c>
      <c r="EI74" s="374" t="s">
        <v>348</v>
      </c>
      <c r="EJ74" s="49" t="s">
        <v>360</v>
      </c>
      <c r="EK74" s="77" t="s">
        <v>364</v>
      </c>
      <c r="EL74" s="35"/>
      <c r="EM74" s="55" t="str">
        <f t="shared" si="82"/>
        <v>- - -</v>
      </c>
      <c r="EN74" s="79" t="str">
        <f t="shared" si="83"/>
        <v>---</v>
      </c>
      <c r="EO74" s="91"/>
      <c r="EP74" s="80"/>
      <c r="EQ74" s="80"/>
      <c r="ER74" s="80"/>
      <c r="ES74" s="80"/>
      <c r="ET74" s="80"/>
      <c r="EU74" s="80"/>
      <c r="EV74" s="80"/>
      <c r="EW74" s="80"/>
      <c r="EX74" s="80"/>
      <c r="EY74" s="80"/>
      <c r="EZ74" s="80"/>
      <c r="FA74" s="80"/>
      <c r="FB74" s="80"/>
      <c r="FC74" s="80"/>
      <c r="FD74" s="80"/>
      <c r="FE74" s="80"/>
      <c r="FF74" s="80"/>
      <c r="FG74" s="80"/>
      <c r="FH74" s="80"/>
      <c r="FI74" s="80"/>
      <c r="FJ74" s="80"/>
      <c r="FK74" s="80"/>
      <c r="FL74" s="80"/>
      <c r="FM74" s="97"/>
      <c r="FN74" s="80"/>
      <c r="FO74" s="80"/>
      <c r="FP74" s="80"/>
      <c r="FQ74" s="80"/>
      <c r="FR74" s="80"/>
    </row>
    <row r="75" spans="1:174" s="80" customFormat="1" ht="11.25" customHeight="1" x14ac:dyDescent="0.2">
      <c r="A75" s="101">
        <v>756</v>
      </c>
      <c r="B75" s="371">
        <v>39</v>
      </c>
      <c r="C75" s="35"/>
      <c r="D75" s="35" t="str">
        <f t="shared" si="44"/>
        <v>Ông</v>
      </c>
      <c r="E75" s="40" t="s">
        <v>80</v>
      </c>
      <c r="F75" s="35" t="s">
        <v>379</v>
      </c>
      <c r="G75" s="64" t="s">
        <v>350</v>
      </c>
      <c r="H75" s="620" t="s">
        <v>360</v>
      </c>
      <c r="I75" s="64" t="s">
        <v>345</v>
      </c>
      <c r="J75" s="620" t="s">
        <v>360</v>
      </c>
      <c r="K75" s="40" t="s">
        <v>14</v>
      </c>
      <c r="L75" s="193" t="s">
        <v>452</v>
      </c>
      <c r="M75" s="652" t="str">
        <f t="shared" si="45"/>
        <v>VC</v>
      </c>
      <c r="N75" s="199"/>
      <c r="O75" s="621" t="e">
        <f t="shared" si="46"/>
        <v>#N/A</v>
      </c>
      <c r="P75" s="40"/>
      <c r="Q75" s="371" t="e">
        <f>VLOOKUP(P75,'[1]- DLiêu Gốc (Không sửa)'!$C$2:$H$116,2,0)</f>
        <v>#N/A</v>
      </c>
      <c r="R75" s="40" t="s">
        <v>564</v>
      </c>
      <c r="S75" s="641" t="s">
        <v>561</v>
      </c>
      <c r="T75" s="38" t="str">
        <f>VLOOKUP(Y75,'Du lieu lien quan'!$C$2:$H$60,5,0)</f>
        <v>A1</v>
      </c>
      <c r="U75" s="39" t="str">
        <f>VLOOKUP(Y75,'Du lieu lien quan'!$C$2:$H$60,6,0)</f>
        <v>- - -</v>
      </c>
      <c r="V75" s="663" t="s">
        <v>425</v>
      </c>
      <c r="W75" s="370" t="str">
        <f t="shared" si="47"/>
        <v>Giáo viên trung học</v>
      </c>
      <c r="X75" s="373" t="str">
        <f t="shared" si="48"/>
        <v>15.113</v>
      </c>
      <c r="Y75" s="397" t="s">
        <v>313</v>
      </c>
      <c r="Z75" s="397" t="str">
        <f>VLOOKUP(Y75,'Du lieu lien quan'!$C$1:$H$133,2,0)</f>
        <v>15.113</v>
      </c>
      <c r="AA75" s="52" t="str">
        <f t="shared" si="49"/>
        <v>Lương</v>
      </c>
      <c r="AB75" s="175">
        <v>9</v>
      </c>
      <c r="AC75" s="495" t="str">
        <f>IF(AD75&gt;0,"/")</f>
        <v>/</v>
      </c>
      <c r="AD75" s="43">
        <f>IF(OR(BE75=0.18,BE75=0.2),12,IF(BE75=0.31,10,IF(BE75=0.33,9,IF(BE75=0.34,8,IF(BE75=0.36,6)))))</f>
        <v>9</v>
      </c>
      <c r="AE75" s="44">
        <f t="shared" si="50"/>
        <v>4.9800000000000004</v>
      </c>
      <c r="AF75" s="220">
        <v>5</v>
      </c>
      <c r="AG75" s="490" t="str">
        <f>IF(AD75=AB75,"%",IF(AD75&gt;AB75,"/"))</f>
        <v>%</v>
      </c>
      <c r="AH75" s="48" t="s">
        <v>342</v>
      </c>
      <c r="AI75" s="484" t="s">
        <v>360</v>
      </c>
      <c r="AJ75" s="82" t="s">
        <v>372</v>
      </c>
      <c r="AK75" s="484" t="s">
        <v>360</v>
      </c>
      <c r="AL75" s="40">
        <v>2021</v>
      </c>
      <c r="AM75" s="162"/>
      <c r="AN75" s="53"/>
      <c r="AO75" s="324"/>
      <c r="AP75" s="256"/>
      <c r="AQ75" s="87"/>
      <c r="AR75" s="508">
        <f>IF(AND(AD75=AB75,AF75=0),5,IF(AND(AD75=AB75,AF75&gt;4),AF75+1,IF(AD75&gt;AB75,AD75)))</f>
        <v>6</v>
      </c>
      <c r="AS75" s="413" t="str">
        <f>IF(AD75=AB75,"%",IF(AD75&gt;AB75,AE75+BE75))</f>
        <v>%</v>
      </c>
      <c r="AT75" s="48" t="s">
        <v>342</v>
      </c>
      <c r="AU75" s="484" t="s">
        <v>360</v>
      </c>
      <c r="AV75" s="82" t="s">
        <v>372</v>
      </c>
      <c r="AW75" s="484" t="s">
        <v>360</v>
      </c>
      <c r="AX75" s="273">
        <v>2022</v>
      </c>
      <c r="AY75" s="91"/>
      <c r="AZ75" s="469"/>
      <c r="BA75" s="480"/>
      <c r="BB75" s="51">
        <f t="shared" si="51"/>
        <v>1</v>
      </c>
      <c r="BC75" s="328">
        <f t="shared" si="52"/>
        <v>-24274</v>
      </c>
      <c r="BD75" s="280">
        <f>VLOOKUP(Y75,'Du lieu lien quan'!$C$1:$F$60,3,0)</f>
        <v>2.34</v>
      </c>
      <c r="BE75" s="280">
        <f>VLOOKUP(Y75,'Du lieu lien quan'!$C$1:$F$60,4,0)</f>
        <v>0.33</v>
      </c>
      <c r="BF75" s="57" t="str">
        <f t="shared" si="53"/>
        <v>PCTN</v>
      </c>
      <c r="BG75" s="58">
        <v>33</v>
      </c>
      <c r="BH75" s="424" t="s">
        <v>333</v>
      </c>
      <c r="BI75" s="60" t="s">
        <v>342</v>
      </c>
      <c r="BJ75" s="484" t="s">
        <v>360</v>
      </c>
      <c r="BK75" s="420" t="s">
        <v>342</v>
      </c>
      <c r="BL75" s="484" t="s">
        <v>360</v>
      </c>
      <c r="BM75" s="40">
        <v>2021</v>
      </c>
      <c r="BN75" s="162"/>
      <c r="BO75" s="62"/>
      <c r="BP75" s="59">
        <f>IF(BG75&gt;3,BG75+1,0)</f>
        <v>34</v>
      </c>
      <c r="BQ75" s="429" t="s">
        <v>333</v>
      </c>
      <c r="BR75" s="60" t="s">
        <v>342</v>
      </c>
      <c r="BS75" s="484" t="s">
        <v>360</v>
      </c>
      <c r="BT75" s="420" t="s">
        <v>342</v>
      </c>
      <c r="BU75" s="484" t="s">
        <v>360</v>
      </c>
      <c r="BV75" s="40">
        <v>2022</v>
      </c>
      <c r="BW75" s="61"/>
      <c r="BX75" s="161">
        <v>1</v>
      </c>
      <c r="BY75" s="329">
        <f t="shared" si="54"/>
        <v>-24265</v>
      </c>
      <c r="BZ75" s="57" t="str">
        <f>IF(AND(CV75="Hưu",BG75&gt;3),12-(12*(DB75-BV75)+(DA75-BT75))-BN75,"- - -")</f>
        <v>- - -</v>
      </c>
      <c r="CA75" s="392" t="str">
        <f t="shared" si="56"/>
        <v>Chánh Văn phòng Học viện, Trưởng Ban Tổ chức - Cán bộ, Trưởng Phân viện Học viện Hành chính Quốc gia khu vực Tây Nguyên</v>
      </c>
      <c r="CB75" s="63" t="str">
        <f t="shared" si="57"/>
        <v>A</v>
      </c>
      <c r="CC75" s="41" t="str">
        <f t="shared" si="58"/>
        <v>=&gt; s</v>
      </c>
      <c r="CD75" s="52" t="str">
        <f t="shared" si="59"/>
        <v>---</v>
      </c>
      <c r="CE75" s="35" t="str">
        <f t="shared" si="60"/>
        <v>---</v>
      </c>
      <c r="CF75" s="35"/>
      <c r="CG75" s="379"/>
      <c r="CH75" s="35"/>
      <c r="CI75" s="135"/>
      <c r="CJ75" s="35" t="str">
        <f t="shared" si="61"/>
        <v>- - -</v>
      </c>
      <c r="CK75" s="55" t="str">
        <f t="shared" si="62"/>
        <v>- - -</v>
      </c>
      <c r="CL75" s="65"/>
      <c r="CM75" s="66"/>
      <c r="CN75" s="65"/>
      <c r="CO75" s="84"/>
      <c r="CP75" s="55" t="str">
        <f t="shared" si="63"/>
        <v>- - -</v>
      </c>
      <c r="CQ75" s="65"/>
      <c r="CR75" s="36"/>
      <c r="CS75" s="65"/>
      <c r="CT75" s="84"/>
      <c r="CU75" s="69" t="str">
        <f>IF(AND(CV75="Hưu",AB75&lt;(AD75-1),DC75&gt;0,DC75&lt;18,OR(BG75&lt;4,AND(BG75&gt;3,OR(BZ75&lt;3,BZ75&gt;5)))),"Lg Sớm",IF(AND(CV75="Hưu",AB75&gt;(AD75-2),OR(BE75=0.33,BE75=0.34),OR(BG75&lt;4,AND(BG75&gt;3,OR(BZ75&lt;3,BZ75&gt;5)))),"Nâng Ngạch",IF(AND(CV75="Hưu",BB75=1,DC75&gt;2,DC75&lt;6,OR(BG75&lt;4,AND(BG75&gt;3,OR(BZ75&lt;3,BZ75&gt;5)))),"Nâng PcVK cùng QĐ",IF(AND(CV75="Hưu",BG75&gt;3,BZ75&gt;2,BZ75&lt;6,AB75&lt;(AD75-1),DC75&gt;17,OR(BB75&gt;1,AND(BB75=1,OR(DC75&lt;3,DC75&gt;5)))),"Nâng PcNG cùng QĐ",IF(AND(CV75="Hưu",AB75&lt;(AD75-1),DC75&gt;0,DC75&lt;18,BG75&gt;3,BZ75&gt;2,BZ75&lt;6),"Nâng Lg Sớm +(PcNG cùng QĐ)",IF(AND(CV75="Hưu",AB75&gt;(AD75-2),OR(BE75=0.33,BE75=0.34),BG75&gt;3,BZ75&gt;2,BZ75&lt;6),"Nâng Ngạch +(PcNG cùng QĐ)",IF(AND(CV75="Hưu",BB75=1,DC75&gt;2,DC75&lt;6,BG75&gt;3,BZ75&gt;2,BZ75&lt;6),"Nâng (PcVK +PcNG) cùng QĐ",("---"))))))))</f>
        <v>---</v>
      </c>
      <c r="CV75" s="70" t="str">
        <f t="shared" si="65"/>
        <v>/-/ /-/</v>
      </c>
      <c r="CW75" s="67">
        <f t="shared" si="66"/>
        <v>7</v>
      </c>
      <c r="CX75" s="68">
        <f t="shared" si="67"/>
        <v>2023</v>
      </c>
      <c r="CY75" s="67">
        <f t="shared" si="68"/>
        <v>4</v>
      </c>
      <c r="CZ75" s="68">
        <f t="shared" si="69"/>
        <v>2023</v>
      </c>
      <c r="DA75" s="67">
        <f t="shared" si="70"/>
        <v>1</v>
      </c>
      <c r="DB75" s="68">
        <f t="shared" si="71"/>
        <v>2023</v>
      </c>
      <c r="DC75" s="71" t="str">
        <f t="shared" si="72"/>
        <v>- - -</v>
      </c>
      <c r="DD75" s="72" t="str">
        <f t="shared" si="73"/>
        <v>. .</v>
      </c>
      <c r="DE75" s="72"/>
      <c r="DF75" s="52">
        <f t="shared" si="74"/>
        <v>720</v>
      </c>
      <c r="DG75" s="52">
        <f t="shared" si="75"/>
        <v>-23550</v>
      </c>
      <c r="DH75" s="52">
        <f t="shared" si="76"/>
        <v>-1963</v>
      </c>
      <c r="DI75" s="52" t="str">
        <f t="shared" si="77"/>
        <v>Nam dưới 35</v>
      </c>
      <c r="DJ75" s="52"/>
      <c r="DK75" s="52"/>
      <c r="DL75" s="57" t="str">
        <f t="shared" si="78"/>
        <v>Đến 30</v>
      </c>
      <c r="DM75" s="183" t="str">
        <f t="shared" si="79"/>
        <v>--</v>
      </c>
      <c r="DN75" s="182"/>
      <c r="DO75" s="35"/>
      <c r="DP75" s="182"/>
      <c r="DQ75" s="36"/>
      <c r="DR75" s="84"/>
      <c r="DS75" s="85"/>
      <c r="DT75" s="86"/>
      <c r="DU75" s="76"/>
      <c r="DV75" s="91"/>
      <c r="DW75" s="254" t="s">
        <v>81</v>
      </c>
      <c r="DX75" s="391" t="s">
        <v>150</v>
      </c>
      <c r="DY75" s="37" t="s">
        <v>213</v>
      </c>
      <c r="DZ75" s="48" t="s">
        <v>342</v>
      </c>
      <c r="EA75" s="49" t="s">
        <v>360</v>
      </c>
      <c r="EB75" s="49" t="s">
        <v>372</v>
      </c>
      <c r="EC75" s="49" t="s">
        <v>360</v>
      </c>
      <c r="ED75" s="77">
        <v>2012</v>
      </c>
      <c r="EE75" s="49">
        <f t="shared" si="80"/>
        <v>0</v>
      </c>
      <c r="EF75" s="78" t="str">
        <f t="shared" si="81"/>
        <v>- - -</v>
      </c>
      <c r="EG75" s="48" t="s">
        <v>342</v>
      </c>
      <c r="EH75" s="49" t="s">
        <v>360</v>
      </c>
      <c r="EI75" s="49" t="s">
        <v>372</v>
      </c>
      <c r="EJ75" s="49" t="s">
        <v>360</v>
      </c>
      <c r="EK75" s="77">
        <v>2012</v>
      </c>
      <c r="EL75" s="35"/>
      <c r="EM75" s="55" t="str">
        <f t="shared" si="82"/>
        <v>- - -</v>
      </c>
      <c r="EN75" s="79" t="str">
        <f t="shared" si="83"/>
        <v>---</v>
      </c>
      <c r="EO75" s="91"/>
    </row>
    <row r="76" spans="1:174" s="136" customFormat="1" ht="11.25" customHeight="1" x14ac:dyDescent="0.2">
      <c r="A76" s="101">
        <v>810</v>
      </c>
      <c r="B76" s="371">
        <v>167</v>
      </c>
      <c r="C76" s="35"/>
      <c r="D76" s="35" t="str">
        <f t="shared" si="44"/>
        <v>Bà</v>
      </c>
      <c r="E76" s="40" t="s">
        <v>154</v>
      </c>
      <c r="F76" s="35" t="s">
        <v>381</v>
      </c>
      <c r="G76" s="64" t="s">
        <v>326</v>
      </c>
      <c r="H76" s="620" t="s">
        <v>360</v>
      </c>
      <c r="I76" s="64" t="s">
        <v>372</v>
      </c>
      <c r="J76" s="620" t="s">
        <v>360</v>
      </c>
      <c r="K76" s="40">
        <v>1970</v>
      </c>
      <c r="L76" s="193" t="s">
        <v>452</v>
      </c>
      <c r="M76" s="652" t="str">
        <f t="shared" si="45"/>
        <v>VC</v>
      </c>
      <c r="N76" s="199"/>
      <c r="O76" s="621" t="e">
        <f t="shared" si="46"/>
        <v>#N/A</v>
      </c>
      <c r="P76" s="40"/>
      <c r="Q76" s="371" t="e">
        <f>VLOOKUP(P76,'[1]- DLiêu Gốc (Không sửa)'!$C$2:$H$116,2,0)</f>
        <v>#N/A</v>
      </c>
      <c r="R76" s="40" t="s">
        <v>153</v>
      </c>
      <c r="S76" s="646" t="s">
        <v>557</v>
      </c>
      <c r="T76" s="38" t="str">
        <f>VLOOKUP(Y76,'Du lieu lien quan'!$C$2:$H$60,5,0)</f>
        <v>A1</v>
      </c>
      <c r="U76" s="39" t="str">
        <f>VLOOKUP(Y76,'Du lieu lien quan'!$C$2:$H$60,6,0)</f>
        <v>- - -</v>
      </c>
      <c r="V76" s="663" t="s">
        <v>425</v>
      </c>
      <c r="W76" s="370" t="str">
        <f t="shared" si="47"/>
        <v>Chuyên viên</v>
      </c>
      <c r="X76" s="373" t="str">
        <f t="shared" si="48"/>
        <v>01.003</v>
      </c>
      <c r="Y76" s="397" t="s">
        <v>340</v>
      </c>
      <c r="Z76" s="397" t="str">
        <f>VLOOKUP(Y76,'Du lieu lien quan'!$C$1:$H$133,2,0)</f>
        <v>01.003</v>
      </c>
      <c r="AA76" s="52" t="str">
        <f t="shared" si="49"/>
        <v>Lương</v>
      </c>
      <c r="AB76" s="260">
        <v>9</v>
      </c>
      <c r="AC76" s="495" t="s">
        <v>360</v>
      </c>
      <c r="AD76" s="208">
        <v>9</v>
      </c>
      <c r="AE76" s="44">
        <f t="shared" si="50"/>
        <v>4.9800000000000004</v>
      </c>
      <c r="AF76" s="220">
        <v>0</v>
      </c>
      <c r="AG76" s="490" t="str">
        <f>IF(AD76=AB76,"%",IF(AD76&gt;AB76,"/"))</f>
        <v>%</v>
      </c>
      <c r="AH76" s="48" t="s">
        <v>342</v>
      </c>
      <c r="AI76" s="484" t="s">
        <v>360</v>
      </c>
      <c r="AJ76" s="82" t="s">
        <v>372</v>
      </c>
      <c r="AK76" s="484" t="s">
        <v>360</v>
      </c>
      <c r="AL76" s="273">
        <v>2019</v>
      </c>
      <c r="AM76" s="162"/>
      <c r="AN76" s="53"/>
      <c r="AO76" s="324"/>
      <c r="AP76" s="256"/>
      <c r="AQ76" s="87"/>
      <c r="AR76" s="2184">
        <v>6</v>
      </c>
      <c r="AS76" s="47" t="s">
        <v>333</v>
      </c>
      <c r="AT76" s="48" t="s">
        <v>342</v>
      </c>
      <c r="AU76" s="484" t="s">
        <v>360</v>
      </c>
      <c r="AV76" s="82" t="s">
        <v>372</v>
      </c>
      <c r="AW76" s="484" t="s">
        <v>360</v>
      </c>
      <c r="AX76" s="273">
        <v>2022</v>
      </c>
      <c r="AY76" s="91"/>
      <c r="AZ76" s="266"/>
      <c r="BA76" s="480"/>
      <c r="BB76" s="51">
        <f t="shared" si="51"/>
        <v>1</v>
      </c>
      <c r="BC76" s="328">
        <f t="shared" si="52"/>
        <v>-24274</v>
      </c>
      <c r="BD76" s="280">
        <f>VLOOKUP(Y76,'Du lieu lien quan'!$C$1:$F$60,3,0)</f>
        <v>2.34</v>
      </c>
      <c r="BE76" s="280">
        <f>VLOOKUP(Y76,'Du lieu lien quan'!$C$1:$F$60,4,0)</f>
        <v>0.33</v>
      </c>
      <c r="BF76" s="57" t="str">
        <f t="shared" si="53"/>
        <v>o-o-o</v>
      </c>
      <c r="BG76" s="58"/>
      <c r="BH76" s="424"/>
      <c r="BI76" s="423"/>
      <c r="BJ76" s="489"/>
      <c r="BK76" s="416"/>
      <c r="BL76" s="489"/>
      <c r="BM76" s="101"/>
      <c r="BN76" s="162"/>
      <c r="BO76" s="62"/>
      <c r="BP76" s="59"/>
      <c r="BQ76" s="429"/>
      <c r="BR76" s="60"/>
      <c r="BS76" s="484"/>
      <c r="BT76" s="417"/>
      <c r="BU76" s="484"/>
      <c r="BV76" s="40"/>
      <c r="BW76" s="61"/>
      <c r="BX76" s="161"/>
      <c r="BY76" s="329" t="str">
        <f t="shared" si="54"/>
        <v>- - -</v>
      </c>
      <c r="BZ76" s="57" t="str">
        <f>IF(AND(CV76="Hưu",BG76&gt;3),12-(12*(DB76-BV76)+(DA76-BT76))-BN76,"- - -")</f>
        <v>- - -</v>
      </c>
      <c r="CA76" s="392" t="str">
        <f t="shared" si="56"/>
        <v>Chánh Văn phòng Học viện, Trưởng Ban Tổ chức - Cán bộ, Trưởng Phân viện Học viện Hành chính Quốc gia tại Thành phố Hồ Chí Minh</v>
      </c>
      <c r="CB76" s="63" t="str">
        <f t="shared" si="57"/>
        <v>A</v>
      </c>
      <c r="CC76" s="41" t="str">
        <f t="shared" si="58"/>
        <v>=&gt; s</v>
      </c>
      <c r="CD76" s="52" t="str">
        <f t="shared" si="59"/>
        <v>---</v>
      </c>
      <c r="CE76" s="35" t="str">
        <f t="shared" si="60"/>
        <v>---</v>
      </c>
      <c r="CF76" s="35"/>
      <c r="CG76" s="373"/>
      <c r="CH76" s="35"/>
      <c r="CI76" s="35"/>
      <c r="CJ76" s="35" t="str">
        <f t="shared" si="61"/>
        <v>- - -</v>
      </c>
      <c r="CK76" s="55" t="str">
        <f t="shared" si="62"/>
        <v>- - -</v>
      </c>
      <c r="CL76" s="65"/>
      <c r="CM76" s="66"/>
      <c r="CN76" s="65"/>
      <c r="CO76" s="84"/>
      <c r="CP76" s="55" t="str">
        <f t="shared" si="63"/>
        <v>- - -</v>
      </c>
      <c r="CQ76" s="65"/>
      <c r="CR76" s="182"/>
      <c r="CS76" s="65"/>
      <c r="CT76" s="84"/>
      <c r="CU76" s="69" t="str">
        <f>IF(AND(CV76="Hưu",AB76&lt;(AD76-1),DC76&gt;0,DC76&lt;18,OR(BG76&lt;4,AND(BG76&gt;3,OR(BZ76&lt;3,BZ76&gt;5)))),"Lg Sớm",IF(AND(CV76="Hưu",AB76&gt;(AD76-2),OR(BE76=0.33,BE76=0.34),OR(BG76&lt;4,AND(BG76&gt;3,OR(BZ76&lt;3,BZ76&gt;5)))),"Nâng Ngạch",IF(AND(CV76="Hưu",BB76=1,DC76&gt;2,DC76&lt;6,OR(BG76&lt;4,AND(BG76&gt;3,OR(BZ76&lt;3,BZ76&gt;5)))),"Nâng PcVK cùng QĐ",IF(AND(CV76="Hưu",BG76&gt;3,BZ76&gt;2,BZ76&lt;6,AB76&lt;(AD76-1),DC76&gt;17,OR(BB76&gt;1,AND(BB76=1,OR(DC76&lt;3,DC76&gt;5)))),"Nâng PcNG cùng QĐ",IF(AND(CV76="Hưu",AB76&lt;(AD76-1),DC76&gt;0,DC76&lt;18,BG76&gt;3,BZ76&gt;2,BZ76&lt;6),"Nâng Lg Sớm +(PcNG cùng QĐ)",IF(AND(CV76="Hưu",AB76&gt;(AD76-2),OR(BE76=0.33,BE76=0.34),BG76&gt;3,BZ76&gt;2,BZ76&lt;6),"Nâng Ngạch +(PcNG cùng QĐ)",IF(AND(CV76="Hưu",BB76=1,DC76&gt;2,DC76&lt;6,BG76&gt;3,BZ76&gt;2,BZ76&lt;6),"Nâng (PcVK +PcNG) cùng QĐ",("---"))))))))</f>
        <v>---</v>
      </c>
      <c r="CV76" s="70" t="str">
        <f t="shared" si="65"/>
        <v>/-/ /-/</v>
      </c>
      <c r="CW76" s="67">
        <f t="shared" si="66"/>
        <v>11</v>
      </c>
      <c r="CX76" s="68">
        <f t="shared" si="67"/>
        <v>2025</v>
      </c>
      <c r="CY76" s="67">
        <f t="shared" si="68"/>
        <v>8</v>
      </c>
      <c r="CZ76" s="68">
        <f t="shared" si="69"/>
        <v>2025</v>
      </c>
      <c r="DA76" s="67">
        <f t="shared" si="70"/>
        <v>5</v>
      </c>
      <c r="DB76" s="68">
        <f t="shared" si="71"/>
        <v>2025</v>
      </c>
      <c r="DC76" s="71" t="str">
        <f t="shared" si="72"/>
        <v>- - -</v>
      </c>
      <c r="DD76" s="72" t="str">
        <f t="shared" si="73"/>
        <v>. .</v>
      </c>
      <c r="DE76" s="72"/>
      <c r="DF76" s="52">
        <f t="shared" si="74"/>
        <v>660</v>
      </c>
      <c r="DG76" s="52">
        <f t="shared" si="75"/>
        <v>-23638</v>
      </c>
      <c r="DH76" s="52">
        <f t="shared" si="76"/>
        <v>-1970</v>
      </c>
      <c r="DI76" s="52" t="str">
        <f t="shared" si="77"/>
        <v>Nữ dưới 30</v>
      </c>
      <c r="DJ76" s="52"/>
      <c r="DK76" s="52"/>
      <c r="DL76" s="57" t="str">
        <f t="shared" si="78"/>
        <v>Đến 30</v>
      </c>
      <c r="DM76" s="65" t="str">
        <f t="shared" si="79"/>
        <v>--</v>
      </c>
      <c r="DN76" s="36"/>
      <c r="DO76" s="89"/>
      <c r="DP76" s="56"/>
      <c r="DQ76" s="84"/>
      <c r="DR76" s="84"/>
      <c r="DS76" s="85"/>
      <c r="DT76" s="86"/>
      <c r="DU76" s="76"/>
      <c r="DV76" s="40"/>
      <c r="DW76" s="885" t="s">
        <v>153</v>
      </c>
      <c r="DX76" s="391" t="s">
        <v>416</v>
      </c>
      <c r="DY76" s="37" t="s">
        <v>368</v>
      </c>
      <c r="DZ76" s="48" t="s">
        <v>342</v>
      </c>
      <c r="EA76" s="49" t="s">
        <v>360</v>
      </c>
      <c r="EB76" s="49" t="s">
        <v>372</v>
      </c>
      <c r="EC76" s="49" t="s">
        <v>360</v>
      </c>
      <c r="ED76" s="77">
        <v>2013</v>
      </c>
      <c r="EE76" s="49">
        <f t="shared" si="80"/>
        <v>0</v>
      </c>
      <c r="EF76" s="78" t="str">
        <f t="shared" si="81"/>
        <v>- - -</v>
      </c>
      <c r="EG76" s="48" t="s">
        <v>342</v>
      </c>
      <c r="EH76" s="49" t="s">
        <v>360</v>
      </c>
      <c r="EI76" s="49" t="s">
        <v>372</v>
      </c>
      <c r="EJ76" s="49" t="s">
        <v>360</v>
      </c>
      <c r="EK76" s="77">
        <v>2013</v>
      </c>
      <c r="EL76" s="35"/>
      <c r="EM76" s="55" t="str">
        <f t="shared" si="82"/>
        <v>- - -</v>
      </c>
      <c r="EN76" s="79" t="str">
        <f t="shared" si="83"/>
        <v>---</v>
      </c>
      <c r="EO76" s="91"/>
      <c r="EP76" s="80"/>
      <c r="EQ76" s="80"/>
      <c r="ER76" s="80"/>
      <c r="ES76" s="80"/>
      <c r="ET76" s="80"/>
      <c r="EU76" s="80"/>
      <c r="EV76" s="80"/>
      <c r="EW76" s="80"/>
      <c r="EX76" s="80"/>
      <c r="EY76" s="80"/>
      <c r="EZ76" s="80"/>
      <c r="FA76" s="80"/>
      <c r="FB76" s="80"/>
      <c r="FC76" s="80"/>
      <c r="FD76" s="80"/>
      <c r="FE76" s="80"/>
      <c r="FF76" s="80"/>
      <c r="FG76" s="80"/>
      <c r="FH76" s="80"/>
      <c r="FI76" s="80"/>
      <c r="FJ76" s="80"/>
      <c r="FK76" s="80"/>
      <c r="FL76" s="80"/>
      <c r="FM76" s="80"/>
      <c r="FN76" s="80"/>
      <c r="FO76" s="80"/>
      <c r="FP76" s="80"/>
      <c r="FQ76" s="80"/>
      <c r="FR76" s="80"/>
    </row>
    <row r="77" spans="1:174" s="80" customFormat="1" ht="11.25" customHeight="1" x14ac:dyDescent="0.2">
      <c r="A77" s="101"/>
      <c r="B77" s="517"/>
      <c r="C77" s="101"/>
      <c r="D77" s="101" t="str">
        <f t="shared" ref="D77" si="84">IF(F77="Nam","Ông","Bà")</f>
        <v>Ông</v>
      </c>
      <c r="E77" s="102" t="s">
        <v>19</v>
      </c>
      <c r="F77" s="101" t="s">
        <v>379</v>
      </c>
      <c r="G77" s="634" t="s">
        <v>278</v>
      </c>
      <c r="H77" s="265" t="s">
        <v>360</v>
      </c>
      <c r="I77" s="634" t="s">
        <v>350</v>
      </c>
      <c r="J77" s="265" t="s">
        <v>360</v>
      </c>
      <c r="K77" s="102">
        <v>1993</v>
      </c>
      <c r="L77" s="193" t="s">
        <v>452</v>
      </c>
      <c r="M77" s="115" t="str">
        <f t="shared" ref="M77" si="85">IF(L77="công chức","CC",IF(L77="viên chức","VC",IF(L77="người lao động","NLĐ","- - -")))</f>
        <v>VC</v>
      </c>
      <c r="N77" s="697"/>
      <c r="O77" s="698" t="e">
        <f t="shared" ref="O77" si="86">IF(AND((Q77+0)&gt;0.3,(Q77+0)&lt;1.5),"CVụ","- -")</f>
        <v>#N/A</v>
      </c>
      <c r="P77" s="102"/>
      <c r="Q77" s="517" t="e">
        <f>VLOOKUP(P77,'[1]- DLiêu Gốc (Không sửa)'!$C$2:$H$116,2,0)</f>
        <v>#N/A</v>
      </c>
      <c r="R77" s="102" t="s">
        <v>633</v>
      </c>
      <c r="S77" s="641" t="s">
        <v>561</v>
      </c>
      <c r="T77" s="106" t="str">
        <f>VLOOKUP(Y77,'Du lieu lien quan'!$C$2:$H$60,5,0)</f>
        <v>A1</v>
      </c>
      <c r="U77" s="107" t="str">
        <f>VLOOKUP(Y77,'Du lieu lien quan'!$C$2:$H$60,6,0)</f>
        <v>- - -</v>
      </c>
      <c r="V77" s="137" t="s">
        <v>425</v>
      </c>
      <c r="W77" s="394" t="str">
        <f t="shared" ref="W77" si="87">IF(OR(Y77="Kỹ thuật viên đánh máy",Y77="Nhân viên đánh máy",Y77="Nhân viên kỹ thuật",Y77="Nhân viên văn thư",Y77="Nhân viên phục vụ",Y77="Lái xe cơ quan",Y77="Nhân viên bảo vệ"),"Nhân viên",Y77)</f>
        <v>Chuyên viên</v>
      </c>
      <c r="X77" s="137" t="str">
        <f t="shared" si="48"/>
        <v>01.003</v>
      </c>
      <c r="Y77" s="397" t="s">
        <v>340</v>
      </c>
      <c r="Z77" s="397" t="str">
        <f>VLOOKUP(Y77,'Du lieu lien quan'!$C$1:$H$133,2,0)</f>
        <v>01.003</v>
      </c>
      <c r="AA77" s="115" t="str">
        <f t="shared" si="49"/>
        <v>Lương</v>
      </c>
      <c r="AB77" s="2269">
        <v>1</v>
      </c>
      <c r="AC77" s="495" t="s">
        <v>360</v>
      </c>
      <c r="AD77" s="43">
        <v>9</v>
      </c>
      <c r="AE77" s="44">
        <f t="shared" si="50"/>
        <v>2.34</v>
      </c>
      <c r="AF77" s="409"/>
      <c r="AG77" s="109"/>
      <c r="AH77" s="111" t="s">
        <v>342</v>
      </c>
      <c r="AI77" s="484" t="s">
        <v>360</v>
      </c>
      <c r="AJ77" s="112" t="s">
        <v>349</v>
      </c>
      <c r="AK77" s="489" t="s">
        <v>360</v>
      </c>
      <c r="AL77" s="40">
        <v>2019</v>
      </c>
      <c r="AM77" s="164"/>
      <c r="AN77" s="150"/>
      <c r="AO77" s="2268">
        <f>AB77+1</f>
        <v>2</v>
      </c>
      <c r="AP77" s="559" t="str">
        <f>IF(AD77=AB77,"%",IF(AD77&gt;AB77,"/"))</f>
        <v>/</v>
      </c>
      <c r="AQ77" s="110">
        <f>IF(AND(AD77=AB77,AO77=4),5,IF(AND(AD77=AB77,AO77&gt;4),AO77+1,IF(AD77&gt;AB77,AD77)))</f>
        <v>9</v>
      </c>
      <c r="AR77" s="559">
        <f>IF(AD77=AB77,"%",IF(AD77&gt;AB77,AE77+BE77))</f>
        <v>2.67</v>
      </c>
      <c r="AS77" s="412"/>
      <c r="AT77" s="111" t="s">
        <v>342</v>
      </c>
      <c r="AU77" s="489"/>
      <c r="AV77" s="112" t="s">
        <v>349</v>
      </c>
      <c r="AW77" s="489" t="s">
        <v>360</v>
      </c>
      <c r="AX77" s="40">
        <v>2022</v>
      </c>
      <c r="AY77" s="132"/>
      <c r="AZ77" s="527" t="s">
        <v>648</v>
      </c>
      <c r="BA77" s="482"/>
      <c r="BB77" s="114">
        <f t="shared" ref="BB77" si="88">IF(AND(AD77&gt;AB77,OR(BE77=0.18,BE77=0.2)),2,IF(AND(AD77&gt;AB77,OR(BE77=0.31,BE77=0.33,BE77=0.34,BE77=0.36)),3,IF(AD77=AB77,1)))</f>
        <v>3</v>
      </c>
      <c r="BC77" s="395">
        <f t="shared" ref="BC77" si="89">12*($AA$2-AX77)+($AA$3-AV77)-AM77</f>
        <v>-24273</v>
      </c>
      <c r="BD77" s="44">
        <f>VLOOKUP(Y77,'Du lieu lien quan'!$C$1:$F$60,3,0)</f>
        <v>2.34</v>
      </c>
      <c r="BE77" s="44">
        <f>VLOOKUP(Y77,'Du lieu lien quan'!$C$1:$F$60,4,0)</f>
        <v>0.33</v>
      </c>
      <c r="BF77" s="120" t="str">
        <f t="shared" ref="BF77" si="90">IF(AND(BG77&gt;3,BY77=12),"Đến %",IF(AND(BG77&gt;3,BY77&gt;12,BY77&lt;120),"Dừng %",IF(AND(BG77&gt;3,BY77&lt;12),"PCTN","o-o-o")))</f>
        <v>o-o-o</v>
      </c>
      <c r="BG77" s="118"/>
      <c r="BH77" s="426"/>
      <c r="BI77" s="423"/>
      <c r="BJ77" s="489"/>
      <c r="BK77" s="416"/>
      <c r="BL77" s="489"/>
      <c r="BM77" s="103"/>
      <c r="BN77" s="164"/>
      <c r="BO77" s="151"/>
      <c r="BP77" s="119"/>
      <c r="BQ77" s="428"/>
      <c r="BR77" s="691"/>
      <c r="BS77" s="489"/>
      <c r="BT77" s="416"/>
      <c r="BU77" s="489"/>
      <c r="BV77" s="102"/>
      <c r="BW77" s="113"/>
      <c r="BX77" s="163"/>
      <c r="BY77" s="692" t="str">
        <f t="shared" ref="BY77" si="91">IF(BG77&gt;3,(($BF$2-BV77)*12+($BF$3-BT77)-BN77),"- - -")</f>
        <v>- - -</v>
      </c>
      <c r="BZ77" s="120" t="str">
        <f>IF(BH77&gt;3,(($BG$2-BW77)*12+($BG$4-BU77)-BO77),"- - -")</f>
        <v>- - -</v>
      </c>
      <c r="CA77" s="102" t="str">
        <f t="shared" ref="CA77" si="92">IF(OR(S77="Ban Tổ chức - Cán bộ",S77="Văn phòng Học viện",S77="Phó Giám đốc Thường trực Học viện",S77="Phó Giám đốc Học viện"),"Chánh Văn phòng Học viện, Trưởng Ban Tổ chức - Cán bộ",IF(OR(S77="Trung tâm Ngoại ngữ",S77="Trung tâm Tin học hành chính và Công nghệ thông tin",S77="Trung tâm Tin học - Thư viện",S77="Phân viện khu vực Tây Nguyên"),"Chánh Văn phòng Học viện, Trưởng Ban Tổ chức - Cán bộ, "&amp;CONCATENATE("Giám đốc ",S77),IF(S77="Tạp chí Quản lý nhà nước","Chánh Văn phòng Học viện, Trưởng Ban Tổ chức - Cán bộ, "&amp;CONCATENATE("Tổng Biên tập ",S77),IF(S77="Văn phòng Đảng uỷ Học viện","Chánh Văn phòng Học viện, Trưởng Ban Tổ chức - Cán bộ, "&amp;CONCATENATE("Chánh",S77),IF(S77="Viện Nghiên cứu Khoa học hành chính","Chánh Văn phòng Học viện, Trưởng Ban Tổ chức - Cán bộ, "&amp;CONCATENATE("Viện Trưởng ",S77),IF(OR(S77="Cơ sở Học viện Hành chính Quốc gia khu vực miền Trung",S77="Cơ sở Học viện Hành chính Quốc gia tại Thành phố Hồ Chí Minh"),"Chánh Văn phòng Học viện, Trưởng Ban Tổ chức - Cán bộ, "&amp;CONCATENATE("Thủ trưởng ",S77),"Chánh Văn phòng Học viện, Trưởng Ban Tổ chức - Cán bộ, "&amp;CONCATENATE("Trưởng ",S77)))))))</f>
        <v>Chánh Văn phòng Học viện, Trưởng Ban Tổ chức - Cán bộ, Trưởng Phân viện Học viện Hành chính Quốc gia khu vực Tây Nguyên</v>
      </c>
      <c r="CB77" s="121" t="str">
        <f t="shared" ref="CB77" si="93">IF(S77="Cơ sở Học viện Hành chính khu vực miền Trung","B",IF(S77="Phân viện Khu vực Tây Nguyên","C",IF(S77="Cơ sở Học viện Hành chính tại thành phố Hồ Chí Minh","D","A")))</f>
        <v>A</v>
      </c>
      <c r="CC77" s="108" t="str">
        <f t="shared" si="58"/>
        <v>=&gt; s</v>
      </c>
      <c r="CD77" s="115">
        <f t="shared" ref="CD77" si="94">IF(BB77=3,36-(12*($CC$2-AX77)+(12-AV77)-AM77),IF(BB77=2,24-(12*($CC$2-AX77)+(12-AV77)-AM77),"---"))</f>
        <v>24297</v>
      </c>
      <c r="CE77" s="101" t="str">
        <f t="shared" ref="CE77" si="95">IF(CF77&gt;1,"S","---")</f>
        <v>---</v>
      </c>
      <c r="CF77" s="101"/>
      <c r="CG77" s="390"/>
      <c r="CH77" s="101"/>
      <c r="CI77" s="101"/>
      <c r="CJ77" s="101" t="str">
        <f t="shared" ref="CJ77" si="96">IF(X77=CG77,"Cùg Ng","- - -")</f>
        <v>- - -</v>
      </c>
      <c r="CK77" s="116" t="str">
        <f t="shared" ref="CK77" si="97">IF(CM77&gt;2000,"NN","- - -")</f>
        <v>- - -</v>
      </c>
      <c r="CL77" s="122"/>
      <c r="CM77" s="124"/>
      <c r="CN77" s="122"/>
      <c r="CO77" s="123"/>
      <c r="CP77" s="116" t="str">
        <f t="shared" ref="CP77" si="98">IF(CR77&gt;2000,"CN","- - -")</f>
        <v>- - -</v>
      </c>
      <c r="CQ77" s="122"/>
      <c r="CR77" s="538"/>
      <c r="CS77" s="122"/>
      <c r="CT77" s="123"/>
      <c r="CU77" s="152" t="str">
        <f>IF(AND(CV77="Hưu",AB77&lt;(AD77-1),DC77&gt;0,DC77&lt;18,OR(BG77&lt;4,AND(BG77&gt;3,OR(BZ77&lt;3,BZ77&gt;5)))),"Lg Sớm",IF(AND(CV77="Hưu",AB77&gt;(AD77-2),OR(BE77=0.33,BE77=0.34),OR(BG77&lt;4,AND(BG77&gt;3,OR(BZ77&lt;3,BZ77&gt;5)))),"Nâng Ngạch",IF(AND(CV77="Hưu",BB77=1,DC77&gt;2,DC77&lt;6,OR(BG77&lt;4,AND(BG77&gt;3,OR(BZ77&lt;3,BZ77&gt;5)))),"Nâng PcVK cùng QĐ",IF(AND(CV77="Hưu",BG77&gt;3,BZ77&gt;2,BZ77&lt;6,AB77&lt;(AD77-1),DC77&gt;17,OR(BB77&gt;1,AND(BB77=1,OR(DC77&lt;3,DC77&gt;5)))),"Nâng PcNG cùng QĐ",IF(AND(CV77="Hưu",AB77&lt;(AD77-1),DC77&gt;0,DC77&lt;18,BG77&gt;3,BZ77&gt;2,BZ77&lt;6),"Nâng Lg Sớm +(PcNG cùng QĐ)",IF(AND(CV77="Hưu",AB77&gt;(AD77-2),OR(BE77=0.33,BE77=0.34),BG77&gt;3,BZ77&gt;2,BZ77&lt;6),"Nâng Ngạch +(PcNG cùng QĐ)",IF(AND(CV77="Hưu",BB77=1,DC77&gt;2,DC77&lt;6,BG77&gt;3,BZ77&gt;2,BZ77&lt;6),"Nâng (PcVK +PcNG) cùng QĐ",("---"))))))))</f>
        <v>---</v>
      </c>
      <c r="CV77" s="125" t="str">
        <f t="shared" ref="CV77" si="99">IF(AND(DG77&gt;DF77,DG77&lt;(DF77+13)),"Hưu",IF(AND(DG77&gt;(DF77+12),DG77&lt;1000),"Quá","/-/ /-/"))</f>
        <v>/-/ /-/</v>
      </c>
      <c r="CW77" s="126">
        <f t="shared" ref="CW77" si="100">IF((I77+0)&lt;12,(I77+0)+1,IF((I77+0)=12,1,IF((I77+0)&gt;12,(I77+0)-12)))</f>
        <v>1</v>
      </c>
      <c r="CX77" s="127">
        <f t="shared" ref="CX77" si="101">IF(OR((I77+0)=12,(I77+0)&gt;12),K77+DF77/12+1,IF(AND((I77+0)&gt;0,(I77+0)&lt;12),K77+DF77/12,"---"))</f>
        <v>2054</v>
      </c>
      <c r="CY77" s="126">
        <f t="shared" ref="CY77" si="102">IF(AND(CW77&gt;3,CW77&lt;13),CW77-3,IF(CW77&lt;4,CW77-3+12))</f>
        <v>10</v>
      </c>
      <c r="CZ77" s="127">
        <f t="shared" ref="CZ77" si="103">IF(CY77&lt;CW77,CX77,IF(CY77&gt;CW77,CX77-1))</f>
        <v>2053</v>
      </c>
      <c r="DA77" s="126">
        <f t="shared" ref="DA77" si="104">IF(CW77&gt;6,CW77-6,IF(CW77=6,12,IF(CW77&lt;6,CW77+6)))</f>
        <v>7</v>
      </c>
      <c r="DB77" s="127">
        <f t="shared" ref="DB77" si="105">IF(CW77&gt;6,CX77,IF(CW77&lt;7,CX77-1))</f>
        <v>2053</v>
      </c>
      <c r="DC77" s="153" t="str">
        <f t="shared" ref="DC77" si="106">IF(AND(CV77="Hưu",BB77=3),36+AM77-(12*(DB77-AX77)+(DA77-AV77)),IF(AND(CV77="Hưu",BB77=2),24+AM77-(12*(DB77-AX77)+(DA77-AV77)),IF(AND(CV77="Hưu",BB77=1),12+AM77-(12*(DB77-AX77)+(DA77-AV77)),"- - -")))</f>
        <v>- - -</v>
      </c>
      <c r="DD77" s="128" t="str">
        <f t="shared" ref="DD77" si="107">IF(DE77&gt;0,"K.Dài",". .")</f>
        <v>. .</v>
      </c>
      <c r="DE77" s="128"/>
      <c r="DF77" s="115">
        <f t="shared" ref="DF77" si="108">IF(F77="Nam",(60+DE77)*12,IF(F77="Nữ",(55+DE77)*12,))</f>
        <v>720</v>
      </c>
      <c r="DG77" s="115">
        <f t="shared" ref="DG77" si="109">12*($CV$4-K77)+(12-I77)</f>
        <v>-23916</v>
      </c>
      <c r="DH77" s="115">
        <f t="shared" ref="DH77" si="110">$DL$4-K77</f>
        <v>-1993</v>
      </c>
      <c r="DI77" s="115" t="str">
        <f t="shared" ref="DI77" si="111">IF(AND(DH77&lt;35,F77="Nam"),"Nam dưới 35",IF(AND(DH77&lt;30,F77="Nữ"),"Nữ dưới 30",IF(AND(DH77&gt;34,DH77&lt;46,F77="Nam"),"Nam từ 35 - 45",IF(AND(DH77&gt;29,DH77&lt;41,F77="Nữ"),"Nữ từ 30 - 40",IF(AND(DH77&gt;45,DH77&lt;56,F77="Nam"),"Nam trên 45 - 55",IF(AND(DH77&gt;40,DH77&lt;51,F77="Nữ"),"Nữ trên 40 - 50",IF(AND(DH77&gt;55,F77="Nam"),"Nam trên 55","Nữ trên 50")))))))</f>
        <v>Nam dưới 35</v>
      </c>
      <c r="DJ77" s="115"/>
      <c r="DK77" s="115"/>
      <c r="DL77" s="120" t="str">
        <f t="shared" ref="DL77" si="112">IF(DH77&lt;31,"Đến 30",IF(AND(DH77&gt;30,DH77&lt;46),"31 - 45",IF(AND(DH77&gt;45,DH77&lt;70),"Trên 45")))</f>
        <v>Đến 30</v>
      </c>
      <c r="DM77" s="122" t="str">
        <f t="shared" ref="DM77" si="113">IF(DN77&gt;0,"TD","--")</f>
        <v>--</v>
      </c>
      <c r="DN77" s="104"/>
      <c r="DO77" s="101"/>
      <c r="DP77" s="117"/>
      <c r="DQ77" s="123"/>
      <c r="DR77" s="123"/>
      <c r="DS77" s="129"/>
      <c r="DT77" s="130"/>
      <c r="DU77" s="131"/>
      <c r="DV77" s="132"/>
      <c r="DW77" s="642" t="s">
        <v>370</v>
      </c>
      <c r="DX77" s="393" t="s">
        <v>150</v>
      </c>
      <c r="DY77" s="105" t="s">
        <v>370</v>
      </c>
      <c r="DZ77" s="111" t="s">
        <v>342</v>
      </c>
      <c r="EA77" s="112" t="s">
        <v>360</v>
      </c>
      <c r="EB77" s="112" t="s">
        <v>373</v>
      </c>
      <c r="EC77" s="112" t="s">
        <v>360</v>
      </c>
      <c r="ED77" s="133" t="s">
        <v>378</v>
      </c>
      <c r="EE77" s="112">
        <f t="shared" ref="EE77" si="114">(DZ77+0)-(EG77+0)</f>
        <v>0</v>
      </c>
      <c r="EF77" s="154" t="str">
        <f t="shared" ref="EF77" si="115">IF(EE77&gt;0,"Sửa","- - -")</f>
        <v>- - -</v>
      </c>
      <c r="EG77" s="111" t="s">
        <v>342</v>
      </c>
      <c r="EH77" s="112" t="s">
        <v>360</v>
      </c>
      <c r="EI77" s="112" t="s">
        <v>373</v>
      </c>
      <c r="EJ77" s="112" t="s">
        <v>360</v>
      </c>
      <c r="EK77" s="133" t="s">
        <v>378</v>
      </c>
      <c r="EL77" s="101"/>
      <c r="EM77" s="116" t="str">
        <f t="shared" si="82"/>
        <v>- - -</v>
      </c>
      <c r="EN77" s="134" t="str">
        <f t="shared" ref="EN77" si="116">IF(CV77="Hưu",12*(DB77-AX77)+(DA77-AV77),"---")</f>
        <v>---</v>
      </c>
      <c r="EO77" s="132"/>
      <c r="EP77" s="136"/>
      <c r="EQ77" s="136"/>
      <c r="ER77" s="136"/>
      <c r="ES77" s="136"/>
      <c r="ET77" s="136"/>
      <c r="EU77" s="136"/>
      <c r="EV77" s="136"/>
      <c r="EW77" s="136"/>
      <c r="EX77" s="136"/>
      <c r="EY77" s="136"/>
      <c r="EZ77" s="136"/>
      <c r="FA77" s="136"/>
      <c r="FB77" s="136"/>
      <c r="FC77" s="136"/>
      <c r="FD77" s="136"/>
      <c r="FE77" s="136"/>
      <c r="FF77" s="136"/>
      <c r="FG77" s="136"/>
      <c r="FH77" s="136"/>
      <c r="FI77" s="136"/>
      <c r="FJ77" s="136"/>
      <c r="FK77" s="136"/>
      <c r="FL77" s="136"/>
      <c r="FM77" s="136"/>
      <c r="FN77" s="136"/>
      <c r="FO77" s="136"/>
      <c r="FP77" s="136"/>
      <c r="FQ77" s="136"/>
      <c r="FR77" s="136"/>
    </row>
    <row r="78" spans="1:174" s="80" customFormat="1" ht="11.25" customHeight="1" x14ac:dyDescent="0.2">
      <c r="A78" s="101">
        <v>599</v>
      </c>
      <c r="B78" s="517">
        <v>14</v>
      </c>
      <c r="C78" s="35"/>
      <c r="D78" s="35" t="str">
        <f t="shared" ref="D78:D82" si="117">IF(F78="Nam","Ông","Bà")</f>
        <v>Bà</v>
      </c>
      <c r="E78" s="40" t="s">
        <v>607</v>
      </c>
      <c r="F78" s="35" t="s">
        <v>381</v>
      </c>
      <c r="G78" s="64" t="s">
        <v>343</v>
      </c>
      <c r="H78" s="620" t="s">
        <v>360</v>
      </c>
      <c r="I78" s="64" t="s">
        <v>345</v>
      </c>
      <c r="J78" s="620" t="s">
        <v>360</v>
      </c>
      <c r="K78" s="40">
        <v>1967</v>
      </c>
      <c r="L78" s="193" t="s">
        <v>434</v>
      </c>
      <c r="M78" s="652" t="str">
        <f t="shared" ref="M78:M82" si="118">IF(L78="công chức","CC",IF(L78="viên chức","VC",IF(L78="người lao động","NLĐ","- - -")))</f>
        <v>NLĐ</v>
      </c>
      <c r="N78" s="199" t="s">
        <v>330</v>
      </c>
      <c r="O78" s="621" t="str">
        <f t="shared" ref="O78:O82" si="119">IF(AND((Q78+0)&gt;0.3,(Q78+0)&lt;1.5),"CVụ","- -")</f>
        <v>- -</v>
      </c>
      <c r="P78" s="40"/>
      <c r="Q78" s="371">
        <f>VLOOKUP(P78,'[3]- DLiêu Gốc -'!$B$2:$G$120,2,0)</f>
        <v>0</v>
      </c>
      <c r="R78" s="90" t="s">
        <v>370</v>
      </c>
      <c r="S78" s="2182" t="s">
        <v>560</v>
      </c>
      <c r="T78" s="38" t="str">
        <f>VLOOKUP(Y78,'[3]- DLiêu Gốc -'!$B$2:$G$54,5,0)</f>
        <v>C</v>
      </c>
      <c r="U78" s="39" t="str">
        <f>VLOOKUP(Y78,'[3]- DLiêu Gốc -'!$B$2:$G$54,6,0)</f>
        <v>Nhân viên</v>
      </c>
      <c r="V78" s="663" t="s">
        <v>425</v>
      </c>
      <c r="W78" s="370" t="str">
        <f t="shared" ref="W78:W82" si="120">IF(OR(Y78="Kỹ thuật viên đánh máy",Y78="Nhân viên đánh máy",Y78="Nhân viên kỹ thuật",Y78="Nhân viên văn thư",Y78="Nhân viên phục vụ",Y78="Lái xe cơ quan",Y78="Nhân viên bảo vệ"),"Nhân viên",Y78)</f>
        <v>Nhân viên</v>
      </c>
      <c r="X78" s="373" t="str">
        <f t="shared" ref="X78:X82" si="121">IF(W78="Nhân viên","01.005",Z78)</f>
        <v>01.005</v>
      </c>
      <c r="Y78" s="397" t="s">
        <v>356</v>
      </c>
      <c r="Z78" s="397" t="str">
        <f>VLOOKUP(Y78,'Du lieu lien quan'!$C$1:$H$133,2,0)</f>
        <v>01.009</v>
      </c>
      <c r="AA78" s="52" t="str">
        <f t="shared" ref="AA78:AA82" si="122">IF(OR(AND(BC78=36,BB78=3),AND(BC78=24,BB78=2),AND(BC78=12,BB78=1)),"Đến $",IF(OR(AND(BC78&gt;36,BB78=3),AND(BC78&gt;24,BB78=2),AND(BC78&gt;12,BB78=1)),"Dừng $","Lương"))</f>
        <v>Lương</v>
      </c>
      <c r="AB78" s="647">
        <v>9</v>
      </c>
      <c r="AC78" s="495" t="s">
        <v>360</v>
      </c>
      <c r="AD78" s="43">
        <v>12</v>
      </c>
      <c r="AE78" s="44">
        <f t="shared" ref="AE78:AE82" si="123">BD78+(AB78-1)*BE78</f>
        <v>2.44</v>
      </c>
      <c r="AF78" s="411"/>
      <c r="AG78" s="46"/>
      <c r="AH78" s="48" t="s">
        <v>342</v>
      </c>
      <c r="AI78" s="484" t="s">
        <v>360</v>
      </c>
      <c r="AJ78" s="693" t="s">
        <v>327</v>
      </c>
      <c r="AK78" s="484" t="s">
        <v>360</v>
      </c>
      <c r="AL78" s="50">
        <v>2020</v>
      </c>
      <c r="AM78" s="162"/>
      <c r="AN78" s="53"/>
      <c r="AO78" s="324">
        <f>AB78+1</f>
        <v>10</v>
      </c>
      <c r="AP78" s="256" t="str">
        <f>IF(AD78=AB78,"%",IF(AD78&gt;AB78,"/"))</f>
        <v>/</v>
      </c>
      <c r="AQ78" s="87">
        <f>IF(AND(AD78=AB78,AO78=4),5,IF(AND(AD78=AB78,AO78&gt;4),AO78+1,IF(AD78&gt;AB78,AD78)))</f>
        <v>12</v>
      </c>
      <c r="AR78" s="256">
        <f>IF(AD78=AB78,"%",IF(AD78&gt;AB78,AE78+BE78))</f>
        <v>2.62</v>
      </c>
      <c r="AS78" s="413"/>
      <c r="AT78" s="48" t="s">
        <v>342</v>
      </c>
      <c r="AU78" s="484" t="s">
        <v>360</v>
      </c>
      <c r="AV78" s="693" t="s">
        <v>327</v>
      </c>
      <c r="AW78" s="484" t="s">
        <v>360</v>
      </c>
      <c r="AX78" s="273">
        <v>2022</v>
      </c>
      <c r="AY78" s="91"/>
      <c r="AZ78" s="266"/>
      <c r="BA78" s="480"/>
      <c r="BB78" s="51">
        <f t="shared" ref="BB78:BB82" si="124">IF(AND(AD78&gt;AB78,OR(BE78=0.18,BE78=0.2)),2,IF(AND(AD78&gt;AB78,OR(BE78=0.31,BE78=0.33,BE78=0.34,BE78=0.36)),3,IF(AD78=AB78,1)))</f>
        <v>2</v>
      </c>
      <c r="BC78" s="328">
        <f t="shared" ref="BC78:BC82" si="125">12*($AA$2-AX78)+($AA$3-AV78)-AM78</f>
        <v>-24271</v>
      </c>
      <c r="BD78" s="280">
        <f>VLOOKUP(Y78,'[3]- DLiêu Gốc -'!$B$1:$E$54,3,0)</f>
        <v>1</v>
      </c>
      <c r="BE78" s="280">
        <f>VLOOKUP(Y78,'[3]- DLiêu Gốc -'!$B$1:$E$54,4,0)</f>
        <v>0.18</v>
      </c>
      <c r="BF78" s="57" t="str">
        <f t="shared" ref="BF78:BF82" si="126">IF(AND(BG78&gt;3,BY78=12),"Đến %",IF(AND(BG78&gt;3,BY78&gt;12,BY78&lt;120),"Dừng %",IF(AND(BG78&gt;3,BY78&lt;12),"PCTN","o-o-o")))</f>
        <v>o-o-o</v>
      </c>
      <c r="BG78" s="58"/>
      <c r="BH78" s="424"/>
      <c r="BI78" s="423"/>
      <c r="BJ78" s="489"/>
      <c r="BK78" s="416"/>
      <c r="BL78" s="489"/>
      <c r="BM78" s="103"/>
      <c r="BN78" s="162"/>
      <c r="BO78" s="62"/>
      <c r="BP78" s="59"/>
      <c r="BQ78" s="429"/>
      <c r="BR78" s="60"/>
      <c r="BS78" s="484"/>
      <c r="BT78" s="417"/>
      <c r="BU78" s="484"/>
      <c r="BV78" s="50"/>
      <c r="BW78" s="94" t="s">
        <v>281</v>
      </c>
      <c r="BX78" s="161"/>
      <c r="BY78" s="329" t="str">
        <f t="shared" ref="BY78:BY82" si="127">IF(BG78&gt;3,(($BF$2-BV78)*12+($BF$3-BT78)-BN78),"- - -")</f>
        <v>- - -</v>
      </c>
      <c r="BZ78" s="57" t="str">
        <f t="shared" ref="BZ78" si="128">IF(AND(CV78="Hưu",BG78&gt;3),12-(12*(DB78-BV78)+(DA78-BT78))-BN78,"- - -")</f>
        <v>- - -</v>
      </c>
      <c r="CA78" s="392" t="str">
        <f t="shared" ref="CA78:CA82" si="129">IF(OR(S78="Ban Tổ chức - Cán bộ",S78="Văn phòng Học viện",S78="Phó Giám đốc Thường trực Học viện",S78="Phó Giám đốc Học viện"),"Chánh Văn phòng Học viện, Trưởng Ban Tổ chức - Cán bộ",IF(OR(S78="Trung tâm Ngoại ngữ",S78="Trung tâm Tin học hành chính và Công nghệ thông tin",S78="Trung tâm Tin học - Thư viện",S78="Phân viện khu vực Tây Nguyên"),"Chánh Văn phòng Học viện, Trưởng Ban Tổ chức - Cán bộ, "&amp;CONCATENATE("Giám đốc ",S78),IF(S78="Tạp chí Quản lý nhà nước","Chánh Văn phòng Học viện, Trưởng Ban Tổ chức - Cán bộ, "&amp;CONCATENATE("Tổng Biên tập ",S78),IF(S78="Văn phòng Đảng uỷ Học viện","Chánh Văn phòng Học viện, Trưởng Ban Tổ chức - Cán bộ, "&amp;CONCATENATE("Chánh",S78),IF(S78="Viện Nghiên cứu Khoa học hành chính","Chánh Văn phòng Học viện, Trưởng Ban Tổ chức - Cán bộ, "&amp;CONCATENATE("Viện Trưởng ",S78),IF(OR(S78="Cơ sở Học viện Hành chính Quốc gia khu vực miền Trung",S78="Cơ sở Học viện Hành chính Quốc gia tại Thành phố Hồ Chí Minh"),"Chánh Văn phòng Học viện, Trưởng Ban Tổ chức - Cán bộ, "&amp;CONCATENATE("Thủ trưởng ",S78),"Chánh Văn phòng Học viện, Trưởng Ban Tổ chức - Cán bộ, "&amp;CONCATENATE("Trưởng ",S78)))))))</f>
        <v>Chánh Văn phòng Học viện, Trưởng Ban Tổ chức - Cán bộ, Trưởng Phân viện Học viện Hành chính Quốc gia tại thành phố Huế</v>
      </c>
      <c r="CB78" s="63" t="str">
        <f t="shared" ref="CB78:CB82" si="130">IF(S78="Cơ sở Học viện Hành chính khu vực miền Trung","B",IF(S78="Phân viện Khu vực Tây Nguyên","C",IF(S78="Cơ sở Học viện Hành chính tại thành phố Hồ Chí Minh","D","A")))</f>
        <v>A</v>
      </c>
      <c r="CC78" s="41" t="str">
        <f t="shared" ref="CC78:CC81" si="131">IF(AND(AO78&gt;0,AB78&lt;(AD78-1),CD78&gt;0,CD78&lt;13,OR(AND(CJ78="Cùg Ng",($CC$2-CF78)&gt;BB78),CJ78="- - -")),"Sớm TT","=&gt; s")</f>
        <v>=&gt; s</v>
      </c>
      <c r="CD78" s="52">
        <f t="shared" ref="CD78:CD82" si="132">IF(BB78=3,36-(12*($CC$2-AX78)+(12-AV78)-AM78),IF(BB78=2,24-(12*($CC$2-AX78)+(12-AV78)-AM78),"---"))</f>
        <v>24283</v>
      </c>
      <c r="CE78" s="35" t="str">
        <f t="shared" ref="CE78:CE82" si="133">IF(CF78&gt;1,"S","---")</f>
        <v>---</v>
      </c>
      <c r="CF78" s="35"/>
      <c r="CG78" s="379"/>
      <c r="CH78" s="35"/>
      <c r="CI78" s="35"/>
      <c r="CJ78" s="35" t="str">
        <f t="shared" ref="CJ78:CJ82" si="134">IF(X78=CG78,"Cùg Ng","- - -")</f>
        <v>- - -</v>
      </c>
      <c r="CK78" s="55" t="str">
        <f t="shared" ref="CK78:CK82" si="135">IF(CM78&gt;2000,"NN","- - -")</f>
        <v>- - -</v>
      </c>
      <c r="CL78" s="65"/>
      <c r="CM78" s="66"/>
      <c r="CN78" s="65"/>
      <c r="CO78" s="84"/>
      <c r="CP78" s="55" t="str">
        <f t="shared" ref="CP78:CP82" si="136">IF(CR78&gt;2000,"CN","- - -")</f>
        <v>- - -</v>
      </c>
      <c r="CQ78" s="65"/>
      <c r="CR78" s="182"/>
      <c r="CS78" s="65"/>
      <c r="CT78" s="84"/>
      <c r="CU78" s="69" t="str">
        <f>IF(AND(CV78="Hưu",AB78&lt;(AD78-1),DC78&gt;0,DC78&lt;18,OR(BG78&lt;4,AND(BG78&gt;3,OR(BZ78&lt;3,BZ78&gt;5)))),"Lg Sớm",IF(AND(CV78="Hưu",AB78&gt;(AD78-2),OR(BE78=0.33,BE78=0.34),OR(BG78&lt;4,AND(BG78&gt;3,OR(BZ78&lt;3,BZ78&gt;5)))),"Nâng Ngạch??",IF(AND(CV78="Hưu",BB78=1,DC78&gt;2,DC78&lt;6,OR(BG78&lt;4,AND(BG78&gt;3,OR(BZ78&lt;3,BZ78&gt;5)))),"Nâng PcVK cùng QĐ",IF(AND(CV78="Hưu",BG78&gt;3,BZ78&gt;2,BZ78&lt;6,AB78&lt;(AD78-1),DC78&gt;17,OR(BB78&gt;1,AND(BB78=1,OR(DC78&lt;3,DC78&gt;5)))),"Nâng PcNG cùng QĐ",IF(AND(CV78="Hưu",AB78&lt;(AD78-1),DC78&gt;0,DC78&lt;18,BG78&gt;3,BZ78&gt;2,BZ78&lt;6),"Nâng Lg Sớm +(PcNG cùng QĐ)",IF(AND(CV78="Hưu",AB78&gt;(AD78-2),OR(BE78=0.33,BE78=0.34),BG78&gt;3,BZ78&gt;2,BZ78&lt;6),"Nâng Ngạch?? +(PcNG cùng QĐ)",IF(AND(CV78="Hưu",BB78=1,DC78&gt;2,DC78&lt;6,BG78&gt;3,BZ78&gt;2,BZ78&lt;6),"Nâng (PcVK +PcNG) cùng QĐ",("---"))))))))</f>
        <v>---</v>
      </c>
      <c r="CV78" s="70" t="str">
        <f t="shared" ref="CV78:CV82" si="137">IF(AND(DG78&gt;DF78,DG78&lt;(DF78+13)),"Hưu",IF(AND(DG78&gt;(DF78+12),DG78&lt;1000),"Quá","/-/ /-/"))</f>
        <v>/-/ /-/</v>
      </c>
      <c r="CW78" s="67">
        <f t="shared" ref="CW78:CW82" si="138">IF((I78+0)&lt;12,(I78+0)+1,IF((I78+0)=12,1,IF((I78+0)&gt;12,(I78+0)-12)))</f>
        <v>7</v>
      </c>
      <c r="CX78" s="68">
        <f t="shared" ref="CX78:CX82" si="139">IF(OR((I78+0)=12,(I78+0)&gt;12),K78+DF78/12+1,IF(AND((I78+0)&gt;0,(I78+0)&lt;12),K78+DF78/12,"---"))</f>
        <v>2022</v>
      </c>
      <c r="CY78" s="67">
        <f t="shared" ref="CY78:CY82" si="140">IF(AND(CW78&gt;3,CW78&lt;13),CW78-3,IF(CW78&lt;4,CW78-3+12))</f>
        <v>4</v>
      </c>
      <c r="CZ78" s="68">
        <f t="shared" ref="CZ78:CZ82" si="141">IF(CY78&lt;CW78,CX78,IF(CY78&gt;CW78,CX78-1))</f>
        <v>2022</v>
      </c>
      <c r="DA78" s="67">
        <f t="shared" ref="DA78:DA82" si="142">IF(CW78&gt;6,CW78-6,IF(CW78=6,12,IF(CW78&lt;6,CW78+6)))</f>
        <v>1</v>
      </c>
      <c r="DB78" s="68">
        <f t="shared" ref="DB78:DB82" si="143">IF(CW78&gt;6,CX78,IF(CW78&lt;7,CX78-1))</f>
        <v>2022</v>
      </c>
      <c r="DC78" s="71" t="str">
        <f t="shared" ref="DC78:DC82" si="144">IF(AND(CV78="Hưu",BB78=3),36+AM78-(12*(DB78-AX78)+(DA78-AV78)),IF(AND(CV78="Hưu",BB78=2),24+AM78-(12*(DB78-AX78)+(DA78-AV78)),IF(AND(CV78="Hưu",BB78=1),12+AM78-(12*(DB78-AX78)+(DA78-AV78)),"- - -")))</f>
        <v>- - -</v>
      </c>
      <c r="DD78" s="72" t="str">
        <f t="shared" ref="DD78:DD82" si="145">IF(DE78&gt;0,"K.Dài",". .")</f>
        <v>. .</v>
      </c>
      <c r="DE78" s="72"/>
      <c r="DF78" s="52">
        <f t="shared" ref="DF78:DF82" si="146">IF(F78="Nam",(60+DE78)*12,IF(F78="Nữ",(55+DE78)*12,))</f>
        <v>660</v>
      </c>
      <c r="DG78" s="52">
        <f t="shared" ref="DG78:DG82" si="147">12*($CV$4-K78)+(12-I78)</f>
        <v>-23598</v>
      </c>
      <c r="DH78" s="52">
        <f t="shared" ref="DH78:DH82" si="148">$DL$4-K78</f>
        <v>-1967</v>
      </c>
      <c r="DI78" s="52" t="str">
        <f t="shared" ref="DI78:DI82" si="149">IF(AND(DH78&lt;35,F78="Nam"),"Nam dưới 35",IF(AND(DH78&lt;30,F78="Nữ"),"Nữ dưới 30",IF(AND(DH78&gt;34,DH78&lt;46,F78="Nam"),"Nam từ 35 - 45",IF(AND(DH78&gt;29,DH78&lt;41,F78="Nữ"),"Nữ từ 30 - 40",IF(AND(DH78&gt;45,DH78&lt;56,F78="Nam"),"Nam trên 45 - 55",IF(AND(DH78&gt;40,DH78&lt;51,F78="Nữ"),"Nữ trên 40 - 50",IF(AND(DH78&gt;55,F78="Nam"),"Nam trên 55","Nữ trên 50")))))))</f>
        <v>Nữ dưới 30</v>
      </c>
      <c r="DJ78" s="52"/>
      <c r="DK78" s="52"/>
      <c r="DL78" s="57" t="str">
        <f t="shared" ref="DL78:DL82" si="150">IF(DH78&lt;31,"Đến 30",IF(AND(DH78&gt;30,DH78&lt;46),"31 - 45",IF(AND(DH78&gt;45,DH78&lt;70),"Trên 45")))</f>
        <v>Đến 30</v>
      </c>
      <c r="DM78" s="65" t="str">
        <f t="shared" ref="DM78:DM82" si="151">IF(DN78&gt;0,"TD","--")</f>
        <v>--</v>
      </c>
      <c r="DN78" s="36"/>
      <c r="DO78" s="95"/>
      <c r="DP78" s="73"/>
      <c r="DQ78" s="36"/>
      <c r="DR78" s="84"/>
      <c r="DS78" s="85"/>
      <c r="DT78" s="86"/>
      <c r="DU78" s="76"/>
      <c r="DV78" s="91"/>
      <c r="DW78" s="644" t="s">
        <v>370</v>
      </c>
      <c r="DX78" s="391" t="s">
        <v>417</v>
      </c>
      <c r="DY78" s="160" t="s">
        <v>370</v>
      </c>
      <c r="DZ78" s="48" t="s">
        <v>342</v>
      </c>
      <c r="EA78" s="49" t="s">
        <v>360</v>
      </c>
      <c r="EB78" s="49" t="s">
        <v>348</v>
      </c>
      <c r="EC78" s="49" t="s">
        <v>360</v>
      </c>
      <c r="ED78" s="77">
        <v>2012</v>
      </c>
      <c r="EE78" s="49">
        <f t="shared" ref="EE78:EE82" si="152">(DZ78+0)-(EG78+0)</f>
        <v>0</v>
      </c>
      <c r="EF78" s="78" t="str">
        <f t="shared" ref="EF78:EF82" si="153">IF(EE78&gt;0,"Sửa","- - -")</f>
        <v>- - -</v>
      </c>
      <c r="EG78" s="48" t="s">
        <v>342</v>
      </c>
      <c r="EH78" s="49" t="s">
        <v>360</v>
      </c>
      <c r="EI78" s="49" t="s">
        <v>348</v>
      </c>
      <c r="EJ78" s="49" t="s">
        <v>360</v>
      </c>
      <c r="EK78" s="77">
        <v>2012</v>
      </c>
      <c r="EL78" s="35"/>
      <c r="EM78" s="55" t="str">
        <f t="shared" ref="EM78:EM81" si="154">IF(AND(BE78&gt;0.34,AO78=1,OR(BD78=6.2,BD78=5.75)),((BD78-EL78)-2*0.34),IF(AND(BE78&gt;0.33,AO78=1,OR(BD78=4.4,BD78=4)),((BD78-EL78)-2*0.33),"- - -"))</f>
        <v>- - -</v>
      </c>
      <c r="EN78" s="79" t="str">
        <f t="shared" ref="EN78:EN82" si="155">IF(CV78="Hưu",12*(DB78-AX78)+(DA78-AV78),"---")</f>
        <v>---</v>
      </c>
      <c r="EO78" s="91"/>
      <c r="FM78" s="680"/>
    </row>
    <row r="79" spans="1:174" s="80" customFormat="1" ht="11.25" customHeight="1" x14ac:dyDescent="0.25">
      <c r="A79" s="101">
        <v>648</v>
      </c>
      <c r="B79" s="371">
        <v>15</v>
      </c>
      <c r="C79" s="35"/>
      <c r="D79" s="35" t="str">
        <f t="shared" si="117"/>
        <v>Ông</v>
      </c>
      <c r="E79" s="40" t="s">
        <v>397</v>
      </c>
      <c r="F79" s="35" t="s">
        <v>379</v>
      </c>
      <c r="G79" s="64" t="s">
        <v>327</v>
      </c>
      <c r="H79" s="620" t="s">
        <v>360</v>
      </c>
      <c r="I79" s="64" t="s">
        <v>372</v>
      </c>
      <c r="J79" s="620" t="s">
        <v>360</v>
      </c>
      <c r="K79" s="40">
        <v>1976</v>
      </c>
      <c r="L79" s="193" t="s">
        <v>434</v>
      </c>
      <c r="M79" s="652" t="str">
        <f t="shared" si="118"/>
        <v>NLĐ</v>
      </c>
      <c r="N79" s="199"/>
      <c r="O79" s="621" t="e">
        <f t="shared" si="119"/>
        <v>#N/A</v>
      </c>
      <c r="P79" s="40"/>
      <c r="Q79" s="371" t="e">
        <f>VLOOKUP(P79,'[1]- DLiêu Gốc (Không sửa)'!$C$2:$H$116,2,0)</f>
        <v>#N/A</v>
      </c>
      <c r="R79" s="40" t="s">
        <v>370</v>
      </c>
      <c r="S79" s="641" t="s">
        <v>561</v>
      </c>
      <c r="T79" s="38" t="str">
        <f>VLOOKUP(Y79,'Du lieu lien quan'!$C$2:$H$60,5,0)</f>
        <v>C</v>
      </c>
      <c r="U79" s="39" t="str">
        <f>VLOOKUP(Y79,'Du lieu lien quan'!$C$2:$H$60,6,0)</f>
        <v>Nhân viên</v>
      </c>
      <c r="V79" s="663" t="s">
        <v>425</v>
      </c>
      <c r="W79" s="370" t="str">
        <f t="shared" si="120"/>
        <v>Nhân viên</v>
      </c>
      <c r="X79" s="373" t="str">
        <f t="shared" si="121"/>
        <v>01.005</v>
      </c>
      <c r="Y79" s="397" t="s">
        <v>357</v>
      </c>
      <c r="Z79" s="397" t="str">
        <f>VLOOKUP(Y79,'Du lieu lien quan'!$C$1:$H$133,2,0)</f>
        <v>01.011</v>
      </c>
      <c r="AA79" s="52" t="str">
        <f t="shared" si="122"/>
        <v>Lương</v>
      </c>
      <c r="AB79" s="647">
        <v>12</v>
      </c>
      <c r="AC79" s="495" t="s">
        <v>360</v>
      </c>
      <c r="AD79" s="208">
        <v>12</v>
      </c>
      <c r="AE79" s="44">
        <f t="shared" si="123"/>
        <v>3.48</v>
      </c>
      <c r="AF79" s="108">
        <v>0</v>
      </c>
      <c r="AG79" s="490" t="str">
        <f>IF(AD79=AB79,"%",IF(AD79&gt;AB79,"/"))</f>
        <v>%</v>
      </c>
      <c r="AH79" s="48" t="s">
        <v>342</v>
      </c>
      <c r="AI79" s="484" t="s">
        <v>360</v>
      </c>
      <c r="AJ79" s="693" t="s">
        <v>327</v>
      </c>
      <c r="AK79" s="484" t="s">
        <v>360</v>
      </c>
      <c r="AL79" s="50">
        <v>2020</v>
      </c>
      <c r="AM79" s="162"/>
      <c r="AN79" s="53"/>
      <c r="AO79" s="324"/>
      <c r="AP79" s="256"/>
      <c r="AQ79" s="87"/>
      <c r="AR79" s="2184">
        <f>IF(AND(AD79=AB79,AF79=0),5,IF(AND(AD79=AB79,AF79&gt;4),AF79+1,IF(AD79&gt;AB79,AD79)))</f>
        <v>5</v>
      </c>
      <c r="AS79" s="47" t="str">
        <f>IF(AD79=AB79,"%",IF(AD79&gt;AB79,AE79+BE79))</f>
        <v>%</v>
      </c>
      <c r="AT79" s="48" t="s">
        <v>342</v>
      </c>
      <c r="AU79" s="484" t="s">
        <v>360</v>
      </c>
      <c r="AV79" s="693" t="s">
        <v>327</v>
      </c>
      <c r="AW79" s="484" t="s">
        <v>360</v>
      </c>
      <c r="AX79" s="273">
        <v>2022</v>
      </c>
      <c r="AY79" s="91"/>
      <c r="AZ79" s="266"/>
      <c r="BA79" s="480"/>
      <c r="BB79" s="51">
        <f t="shared" si="124"/>
        <v>1</v>
      </c>
      <c r="BC79" s="328">
        <f t="shared" si="125"/>
        <v>-24271</v>
      </c>
      <c r="BD79" s="280">
        <f>VLOOKUP(Y79,'Du lieu lien quan'!$C$1:$F$60,3,0)</f>
        <v>1.5</v>
      </c>
      <c r="BE79" s="280">
        <f>VLOOKUP(Y79,'Du lieu lien quan'!$C$1:$F$60,4,0)</f>
        <v>0.18</v>
      </c>
      <c r="BF79" s="57" t="str">
        <f t="shared" si="126"/>
        <v>o-o-o</v>
      </c>
      <c r="BG79" s="58"/>
      <c r="BH79" s="424"/>
      <c r="BI79" s="423"/>
      <c r="BJ79" s="489"/>
      <c r="BK79" s="416"/>
      <c r="BL79" s="489"/>
      <c r="BM79" s="103"/>
      <c r="BN79" s="162"/>
      <c r="BO79" s="62"/>
      <c r="BP79" s="59"/>
      <c r="BQ79" s="429"/>
      <c r="BR79" s="60"/>
      <c r="BS79" s="484"/>
      <c r="BT79" s="417"/>
      <c r="BU79" s="484"/>
      <c r="BV79" s="50"/>
      <c r="BW79" s="61"/>
      <c r="BX79" s="161"/>
      <c r="BY79" s="329" t="str">
        <f t="shared" si="127"/>
        <v>- - -</v>
      </c>
      <c r="BZ79" s="120" t="str">
        <f>IF(BH79&gt;3,(($BG$2-BW79)*12+($BG$4-BU79)-BO79),"- - -")</f>
        <v>- - -</v>
      </c>
      <c r="CA79" s="392" t="str">
        <f t="shared" si="129"/>
        <v>Chánh Văn phòng Học viện, Trưởng Ban Tổ chức - Cán bộ, Trưởng Phân viện Học viện Hành chính Quốc gia khu vực Tây Nguyên</v>
      </c>
      <c r="CB79" s="63" t="str">
        <f t="shared" si="130"/>
        <v>A</v>
      </c>
      <c r="CC79" s="41" t="str">
        <f t="shared" si="131"/>
        <v>=&gt; s</v>
      </c>
      <c r="CD79" s="52" t="str">
        <f t="shared" si="132"/>
        <v>---</v>
      </c>
      <c r="CE79" s="35" t="str">
        <f t="shared" si="133"/>
        <v>---</v>
      </c>
      <c r="CF79" s="35"/>
      <c r="CG79" s="379"/>
      <c r="CH79" s="35"/>
      <c r="CI79" s="35"/>
      <c r="CJ79" s="35" t="str">
        <f t="shared" si="134"/>
        <v>- - -</v>
      </c>
      <c r="CK79" s="55" t="str">
        <f t="shared" si="135"/>
        <v>- - -</v>
      </c>
      <c r="CL79" s="65"/>
      <c r="CM79" s="66"/>
      <c r="CN79" s="65"/>
      <c r="CO79" s="84"/>
      <c r="CP79" s="55" t="str">
        <f t="shared" si="136"/>
        <v>- - -</v>
      </c>
      <c r="CQ79" s="65"/>
      <c r="CR79" s="182"/>
      <c r="CS79" s="65"/>
      <c r="CT79" s="84"/>
      <c r="CU79" s="69" t="str">
        <f>IF(AND(CV79="Hưu",AB79&lt;(AD79-1),DC79&gt;0,DC79&lt;18,OR(BG79&lt;4,AND(BG79&gt;3,OR(BZ79&lt;3,BZ79&gt;5)))),"Lg Sớm",IF(AND(CV79="Hưu",AB79&gt;(AD79-2),OR(BE79=0.33,BE79=0.34),OR(BG79&lt;4,AND(BG79&gt;3,OR(BZ79&lt;3,BZ79&gt;5)))),"Nâng Ngạch",IF(AND(CV79="Hưu",BB79=1,DC79&gt;2,DC79&lt;6,OR(BG79&lt;4,AND(BG79&gt;3,OR(BZ79&lt;3,BZ79&gt;5)))),"Nâng PcVK cùng QĐ",IF(AND(CV79="Hưu",BG79&gt;3,BZ79&gt;2,BZ79&lt;6,AB79&lt;(AD79-1),DC79&gt;17,OR(BB79&gt;1,AND(BB79=1,OR(DC79&lt;3,DC79&gt;5)))),"Nâng PcNG cùng QĐ",IF(AND(CV79="Hưu",AB79&lt;(AD79-1),DC79&gt;0,DC79&lt;18,BG79&gt;3,BZ79&gt;2,BZ79&lt;6),"Nâng Lg Sớm +(PcNG cùng QĐ)",IF(AND(CV79="Hưu",AB79&gt;(AD79-2),OR(BE79=0.33,BE79=0.34),BG79&gt;3,BZ79&gt;2,BZ79&lt;6),"Nâng Ngạch +(PcNG cùng QĐ)",IF(AND(CV79="Hưu",BB79=1,DC79&gt;2,DC79&lt;6,BG79&gt;3,BZ79&gt;2,BZ79&lt;6),"Nâng (PcVK +PcNG) cùng QĐ",("---"))))))))</f>
        <v>---</v>
      </c>
      <c r="CV79" s="70" t="str">
        <f t="shared" si="137"/>
        <v>/-/ /-/</v>
      </c>
      <c r="CW79" s="67">
        <f t="shared" si="138"/>
        <v>11</v>
      </c>
      <c r="CX79" s="68">
        <f t="shared" si="139"/>
        <v>2036</v>
      </c>
      <c r="CY79" s="67">
        <f t="shared" si="140"/>
        <v>8</v>
      </c>
      <c r="CZ79" s="68">
        <f t="shared" si="141"/>
        <v>2036</v>
      </c>
      <c r="DA79" s="67">
        <f t="shared" si="142"/>
        <v>5</v>
      </c>
      <c r="DB79" s="68">
        <f t="shared" si="143"/>
        <v>2036</v>
      </c>
      <c r="DC79" s="71" t="str">
        <f t="shared" si="144"/>
        <v>- - -</v>
      </c>
      <c r="DD79" s="72" t="str">
        <f t="shared" si="145"/>
        <v>. .</v>
      </c>
      <c r="DE79" s="72"/>
      <c r="DF79" s="52">
        <f t="shared" si="146"/>
        <v>720</v>
      </c>
      <c r="DG79" s="52">
        <f t="shared" si="147"/>
        <v>-23710</v>
      </c>
      <c r="DH79" s="52">
        <f t="shared" si="148"/>
        <v>-1976</v>
      </c>
      <c r="DI79" s="52" t="str">
        <f t="shared" si="149"/>
        <v>Nam dưới 35</v>
      </c>
      <c r="DJ79" s="52"/>
      <c r="DK79" s="52"/>
      <c r="DL79" s="57" t="str">
        <f t="shared" si="150"/>
        <v>Đến 30</v>
      </c>
      <c r="DM79" s="65" t="str">
        <f t="shared" si="151"/>
        <v>--</v>
      </c>
      <c r="DN79" s="36"/>
      <c r="DO79" s="35"/>
      <c r="DP79" s="158"/>
      <c r="DQ79" s="36"/>
      <c r="DR79" s="36"/>
      <c r="DS79" s="74"/>
      <c r="DT79" s="40"/>
      <c r="DU79" s="76"/>
      <c r="DV79" s="91"/>
      <c r="DW79" s="643" t="s">
        <v>370</v>
      </c>
      <c r="DX79" s="391" t="s">
        <v>150</v>
      </c>
      <c r="DY79" s="37" t="s">
        <v>370</v>
      </c>
      <c r="DZ79" s="48" t="s">
        <v>342</v>
      </c>
      <c r="EA79" s="49" t="s">
        <v>360</v>
      </c>
      <c r="EB79" s="49" t="s">
        <v>345</v>
      </c>
      <c r="EC79" s="49" t="s">
        <v>360</v>
      </c>
      <c r="ED79" s="77">
        <v>2013</v>
      </c>
      <c r="EE79" s="49">
        <f t="shared" si="152"/>
        <v>0</v>
      </c>
      <c r="EF79" s="78" t="str">
        <f t="shared" si="153"/>
        <v>- - -</v>
      </c>
      <c r="EG79" s="48" t="s">
        <v>342</v>
      </c>
      <c r="EH79" s="49" t="s">
        <v>360</v>
      </c>
      <c r="EI79" s="49" t="s">
        <v>345</v>
      </c>
      <c r="EJ79" s="49" t="s">
        <v>360</v>
      </c>
      <c r="EK79" s="77">
        <v>2013</v>
      </c>
      <c r="EL79" s="35"/>
      <c r="EM79" s="55" t="str">
        <f t="shared" si="154"/>
        <v>- - -</v>
      </c>
      <c r="EN79" s="79" t="str">
        <f t="shared" si="155"/>
        <v>---</v>
      </c>
      <c r="EO79" s="91"/>
    </row>
    <row r="80" spans="1:174" s="80" customFormat="1" ht="11.25" customHeight="1" x14ac:dyDescent="0.25">
      <c r="A80" s="101">
        <v>684</v>
      </c>
      <c r="B80" s="517">
        <v>16</v>
      </c>
      <c r="C80" s="35"/>
      <c r="D80" s="35" t="str">
        <f t="shared" si="117"/>
        <v>Bà</v>
      </c>
      <c r="E80" s="40" t="s">
        <v>90</v>
      </c>
      <c r="F80" s="35" t="s">
        <v>381</v>
      </c>
      <c r="G80" s="64" t="s">
        <v>283</v>
      </c>
      <c r="H80" s="620" t="s">
        <v>360</v>
      </c>
      <c r="I80" s="64" t="s">
        <v>373</v>
      </c>
      <c r="J80" s="620" t="s">
        <v>360</v>
      </c>
      <c r="K80" s="40" t="s">
        <v>339</v>
      </c>
      <c r="L80" s="193" t="s">
        <v>452</v>
      </c>
      <c r="M80" s="652" t="str">
        <f t="shared" si="118"/>
        <v>VC</v>
      </c>
      <c r="N80" s="199"/>
      <c r="O80" s="621" t="e">
        <f t="shared" si="119"/>
        <v>#N/A</v>
      </c>
      <c r="P80" s="40"/>
      <c r="Q80" s="371" t="e">
        <f>VLOOKUP(P80,'[1]- DLiêu Gốc (Không sửa)'!$C$2:$H$116,2,0)</f>
        <v>#N/A</v>
      </c>
      <c r="R80" s="40" t="s">
        <v>10</v>
      </c>
      <c r="S80" s="646" t="s">
        <v>557</v>
      </c>
      <c r="T80" s="38" t="str">
        <f>VLOOKUP(Y80,'Du lieu lien quan'!$C$2:$H$60,5,0)</f>
        <v>A1</v>
      </c>
      <c r="U80" s="39" t="str">
        <f>VLOOKUP(Y80,'Du lieu lien quan'!$C$2:$H$60,6,0)</f>
        <v>- - -</v>
      </c>
      <c r="V80" s="663" t="s">
        <v>424</v>
      </c>
      <c r="W80" s="370" t="str">
        <f t="shared" si="120"/>
        <v>Giảng viên (hạng III)</v>
      </c>
      <c r="X80" s="373" t="str">
        <f t="shared" si="121"/>
        <v>V.07.01.03</v>
      </c>
      <c r="Y80" s="397" t="s">
        <v>430</v>
      </c>
      <c r="Z80" s="397" t="str">
        <f>VLOOKUP(Y80,'Du lieu lien quan'!$C$1:$H$133,2,0)</f>
        <v>V.07.01.03</v>
      </c>
      <c r="AA80" s="52" t="str">
        <f t="shared" si="122"/>
        <v>Lương</v>
      </c>
      <c r="AB80" s="647">
        <v>6</v>
      </c>
      <c r="AC80" s="495" t="s">
        <v>360</v>
      </c>
      <c r="AD80" s="208">
        <v>9</v>
      </c>
      <c r="AE80" s="44">
        <f t="shared" si="123"/>
        <v>3.99</v>
      </c>
      <c r="AF80" s="409"/>
      <c r="AG80" s="109"/>
      <c r="AH80" s="485" t="s">
        <v>342</v>
      </c>
      <c r="AI80" s="493" t="s">
        <v>360</v>
      </c>
      <c r="AJ80" s="693" t="s">
        <v>327</v>
      </c>
      <c r="AK80" s="493" t="s">
        <v>360</v>
      </c>
      <c r="AL80" s="494">
        <v>2019</v>
      </c>
      <c r="AM80" s="162"/>
      <c r="AN80" s="377"/>
      <c r="AO80" s="324">
        <f>AB80+1</f>
        <v>7</v>
      </c>
      <c r="AP80" s="256" t="str">
        <f>IF(AD80=AB80,"%",IF(AD80&gt;AB80,"/"))</f>
        <v>/</v>
      </c>
      <c r="AQ80" s="87">
        <f>IF(AND(AD80=AB80,AO80=4),5,IF(AND(AD80=AB80,AO80&gt;4),AO80+1,IF(AD80&gt;AB80,AD80)))</f>
        <v>9</v>
      </c>
      <c r="AR80" s="256">
        <f>IF(AD80=AB80,"%",IF(AD80&gt;AB80,AE80+BE80))</f>
        <v>4.32</v>
      </c>
      <c r="AS80" s="413"/>
      <c r="AT80" s="48" t="s">
        <v>342</v>
      </c>
      <c r="AU80" s="484" t="s">
        <v>360</v>
      </c>
      <c r="AV80" s="693" t="s">
        <v>327</v>
      </c>
      <c r="AW80" s="484" t="s">
        <v>360</v>
      </c>
      <c r="AX80" s="273">
        <v>2022</v>
      </c>
      <c r="AY80" s="91"/>
      <c r="AZ80" s="266"/>
      <c r="BA80" s="480"/>
      <c r="BB80" s="51">
        <f t="shared" si="124"/>
        <v>3</v>
      </c>
      <c r="BC80" s="328">
        <f t="shared" si="125"/>
        <v>-24271</v>
      </c>
      <c r="BD80" s="280">
        <f>VLOOKUP(Y80,'Du lieu lien quan'!$C$1:$F$60,3,0)</f>
        <v>2.34</v>
      </c>
      <c r="BE80" s="280">
        <f>VLOOKUP(Y80,'Du lieu lien quan'!$C$1:$F$60,4,0)</f>
        <v>0.33</v>
      </c>
      <c r="BF80" s="57" t="str">
        <f t="shared" si="126"/>
        <v>o-o-o</v>
      </c>
      <c r="BG80" s="58"/>
      <c r="BH80" s="424"/>
      <c r="BI80" s="423"/>
      <c r="BJ80" s="489"/>
      <c r="BK80" s="416"/>
      <c r="BL80" s="489"/>
      <c r="BM80" s="103"/>
      <c r="BN80" s="162"/>
      <c r="BO80" s="62"/>
      <c r="BP80" s="59"/>
      <c r="BQ80" s="429"/>
      <c r="BR80" s="60"/>
      <c r="BS80" s="484"/>
      <c r="BT80" s="417"/>
      <c r="BU80" s="484"/>
      <c r="BV80" s="50"/>
      <c r="BW80" s="61"/>
      <c r="BX80" s="161"/>
      <c r="BY80" s="329" t="str">
        <f t="shared" si="127"/>
        <v>- - -</v>
      </c>
      <c r="BZ80" s="120" t="str">
        <f>IF(BH80&gt;3,(($BG$2-BW80)*12+($BG$4-BU80)-BO80),"- - -")</f>
        <v>- - -</v>
      </c>
      <c r="CA80" s="392" t="str">
        <f t="shared" si="129"/>
        <v>Chánh Văn phòng Học viện, Trưởng Ban Tổ chức - Cán bộ, Trưởng Phân viện Học viện Hành chính Quốc gia tại Thành phố Hồ Chí Minh</v>
      </c>
      <c r="CB80" s="63" t="str">
        <f t="shared" si="130"/>
        <v>A</v>
      </c>
      <c r="CC80" s="41" t="str">
        <f t="shared" si="131"/>
        <v>=&gt; s</v>
      </c>
      <c r="CD80" s="52">
        <f t="shared" si="132"/>
        <v>24295</v>
      </c>
      <c r="CE80" s="35" t="str">
        <f t="shared" si="133"/>
        <v>---</v>
      </c>
      <c r="CF80" s="35"/>
      <c r="CG80" s="379"/>
      <c r="CH80" s="35"/>
      <c r="CI80" s="35"/>
      <c r="CJ80" s="35" t="str">
        <f t="shared" si="134"/>
        <v>- - -</v>
      </c>
      <c r="CK80" s="55" t="str">
        <f t="shared" si="135"/>
        <v>- - -</v>
      </c>
      <c r="CL80" s="65"/>
      <c r="CM80" s="66"/>
      <c r="CN80" s="65"/>
      <c r="CO80" s="84"/>
      <c r="CP80" s="55" t="str">
        <f t="shared" si="136"/>
        <v>CN</v>
      </c>
      <c r="CQ80" s="65">
        <v>6</v>
      </c>
      <c r="CR80" s="182">
        <v>2013</v>
      </c>
      <c r="CS80" s="65"/>
      <c r="CT80" s="84"/>
      <c r="CU80" s="69" t="str">
        <f>IF(AND(CV80="Hưu",AB80&lt;(AD80-1),DC80&gt;0,DC80&lt;18,OR(BG80&lt;4,AND(BG80&gt;3,OR(BZ80&lt;3,BZ80&gt;5)))),"Lg Sớm",IF(AND(CV80="Hưu",AB80&gt;(AD80-2),OR(BE80=0.33,BE80=0.34),OR(BG80&lt;4,AND(BG80&gt;3,OR(BZ80&lt;3,BZ80&gt;5)))),"Nâng Ngạch",IF(AND(CV80="Hưu",BB80=1,DC80&gt;2,DC80&lt;6,OR(BG80&lt;4,AND(BG80&gt;3,OR(BZ80&lt;3,BZ80&gt;5)))),"Nâng PcVK cùng QĐ",IF(AND(CV80="Hưu",BG80&gt;3,BZ80&gt;2,BZ80&lt;6,AB80&lt;(AD80-1),DC80&gt;17,OR(BB80&gt;1,AND(BB80=1,OR(DC80&lt;3,DC80&gt;5)))),"Nâng PcNG cùng QĐ",IF(AND(CV80="Hưu",AB80&lt;(AD80-1),DC80&gt;0,DC80&lt;18,BG80&gt;3,BZ80&gt;2,BZ80&lt;6),"Nâng Lg Sớm +(PcNG cùng QĐ)",IF(AND(CV80="Hưu",AB80&gt;(AD80-2),OR(BE80=0.33,BE80=0.34),BG80&gt;3,BZ80&gt;2,BZ80&lt;6),"Nâng Ngạch +(PcNG cùng QĐ)",IF(AND(CV80="Hưu",BB80=1,DC80&gt;2,DC80&lt;6,BG80&gt;3,BZ80&gt;2,BZ80&lt;6),"Nâng (PcVK +PcNG) cùng QĐ",("---"))))))))</f>
        <v>---</v>
      </c>
      <c r="CV80" s="70" t="str">
        <f t="shared" si="137"/>
        <v>/-/ /-/</v>
      </c>
      <c r="CW80" s="67">
        <f t="shared" si="138"/>
        <v>12</v>
      </c>
      <c r="CX80" s="68">
        <f t="shared" si="139"/>
        <v>2033</v>
      </c>
      <c r="CY80" s="67">
        <f t="shared" si="140"/>
        <v>9</v>
      </c>
      <c r="CZ80" s="68">
        <f t="shared" si="141"/>
        <v>2033</v>
      </c>
      <c r="DA80" s="67">
        <f t="shared" si="142"/>
        <v>6</v>
      </c>
      <c r="DB80" s="68">
        <f t="shared" si="143"/>
        <v>2033</v>
      </c>
      <c r="DC80" s="71" t="str">
        <f t="shared" si="144"/>
        <v>- - -</v>
      </c>
      <c r="DD80" s="72" t="str">
        <f t="shared" si="145"/>
        <v>. .</v>
      </c>
      <c r="DE80" s="72"/>
      <c r="DF80" s="52">
        <f t="shared" si="146"/>
        <v>660</v>
      </c>
      <c r="DG80" s="52">
        <f t="shared" si="147"/>
        <v>-23735</v>
      </c>
      <c r="DH80" s="52">
        <f t="shared" si="148"/>
        <v>-1978</v>
      </c>
      <c r="DI80" s="52" t="str">
        <f t="shared" si="149"/>
        <v>Nữ dưới 30</v>
      </c>
      <c r="DJ80" s="52"/>
      <c r="DK80" s="52"/>
      <c r="DL80" s="57" t="str">
        <f t="shared" si="150"/>
        <v>Đến 30</v>
      </c>
      <c r="DM80" s="65" t="str">
        <f t="shared" si="151"/>
        <v>--</v>
      </c>
      <c r="DN80" s="36"/>
      <c r="DO80" s="35" t="s">
        <v>268</v>
      </c>
      <c r="DP80" s="73">
        <v>6</v>
      </c>
      <c r="DQ80" s="36">
        <v>2013</v>
      </c>
      <c r="DR80" s="84"/>
      <c r="DS80" s="85"/>
      <c r="DT80" s="86"/>
      <c r="DU80" s="76"/>
      <c r="DV80" s="91"/>
      <c r="DW80" s="643" t="s">
        <v>10</v>
      </c>
      <c r="DX80" s="391" t="s">
        <v>416</v>
      </c>
      <c r="DY80" s="37" t="s">
        <v>10</v>
      </c>
      <c r="DZ80" s="48" t="s">
        <v>342</v>
      </c>
      <c r="EA80" s="49" t="s">
        <v>360</v>
      </c>
      <c r="EB80" s="49" t="s">
        <v>348</v>
      </c>
      <c r="EC80" s="49" t="s">
        <v>360</v>
      </c>
      <c r="ED80" s="77">
        <v>2013</v>
      </c>
      <c r="EE80" s="49">
        <f t="shared" si="152"/>
        <v>0</v>
      </c>
      <c r="EF80" s="78" t="str">
        <f t="shared" si="153"/>
        <v>- - -</v>
      </c>
      <c r="EG80" s="48" t="s">
        <v>342</v>
      </c>
      <c r="EH80" s="49" t="s">
        <v>360</v>
      </c>
      <c r="EI80" s="49" t="s">
        <v>348</v>
      </c>
      <c r="EJ80" s="49" t="s">
        <v>360</v>
      </c>
      <c r="EK80" s="77">
        <v>2013</v>
      </c>
      <c r="EL80" s="35"/>
      <c r="EM80" s="55" t="str">
        <f t="shared" si="154"/>
        <v>- - -</v>
      </c>
      <c r="EN80" s="79" t="str">
        <f t="shared" si="155"/>
        <v>---</v>
      </c>
      <c r="EO80" s="91"/>
    </row>
    <row r="81" spans="1:174" s="322" customFormat="1" ht="11.25" customHeight="1" x14ac:dyDescent="0.25">
      <c r="A81" s="101">
        <v>730</v>
      </c>
      <c r="B81" s="371">
        <v>17</v>
      </c>
      <c r="C81" s="35"/>
      <c r="D81" s="35" t="str">
        <f t="shared" si="117"/>
        <v>Bà</v>
      </c>
      <c r="E81" s="40" t="s">
        <v>11</v>
      </c>
      <c r="F81" s="35" t="s">
        <v>381</v>
      </c>
      <c r="G81" s="64" t="s">
        <v>374</v>
      </c>
      <c r="H81" s="620" t="s">
        <v>360</v>
      </c>
      <c r="I81" s="64" t="s">
        <v>372</v>
      </c>
      <c r="J81" s="620" t="s">
        <v>360</v>
      </c>
      <c r="K81" s="40">
        <v>1986</v>
      </c>
      <c r="L81" s="193" t="s">
        <v>452</v>
      </c>
      <c r="M81" s="652" t="str">
        <f t="shared" si="118"/>
        <v>VC</v>
      </c>
      <c r="N81" s="199"/>
      <c r="O81" s="621" t="e">
        <f t="shared" si="119"/>
        <v>#N/A</v>
      </c>
      <c r="P81" s="40"/>
      <c r="Q81" s="371" t="e">
        <f>VLOOKUP(P81,'[1]- DLiêu Gốc (Không sửa)'!$C$2:$H$116,2,0)</f>
        <v>#N/A</v>
      </c>
      <c r="R81" s="40" t="s">
        <v>633</v>
      </c>
      <c r="S81" s="646" t="s">
        <v>557</v>
      </c>
      <c r="T81" s="38" t="str">
        <f>VLOOKUP(Y81,'Du lieu lien quan'!$C$2:$H$60,5,0)</f>
        <v>A1</v>
      </c>
      <c r="U81" s="39" t="str">
        <f>VLOOKUP(Y81,'Du lieu lien quan'!$C$2:$H$60,6,0)</f>
        <v>- - -</v>
      </c>
      <c r="V81" s="663" t="s">
        <v>425</v>
      </c>
      <c r="W81" s="370" t="str">
        <f t="shared" si="120"/>
        <v>Chuyên viên</v>
      </c>
      <c r="X81" s="373" t="str">
        <f t="shared" si="121"/>
        <v>01.003</v>
      </c>
      <c r="Y81" s="397" t="s">
        <v>340</v>
      </c>
      <c r="Z81" s="397" t="str">
        <f>VLOOKUP(Y81,'Du lieu lien quan'!$C$1:$H$133,2,0)</f>
        <v>01.003</v>
      </c>
      <c r="AA81" s="52" t="str">
        <f t="shared" si="122"/>
        <v>Lương</v>
      </c>
      <c r="AB81" s="148">
        <v>4</v>
      </c>
      <c r="AC81" s="495" t="s">
        <v>360</v>
      </c>
      <c r="AD81" s="208">
        <v>9</v>
      </c>
      <c r="AE81" s="44">
        <f t="shared" si="123"/>
        <v>3.33</v>
      </c>
      <c r="AF81" s="409"/>
      <c r="AG81" s="109"/>
      <c r="AH81" s="485" t="s">
        <v>342</v>
      </c>
      <c r="AI81" s="493" t="s">
        <v>360</v>
      </c>
      <c r="AJ81" s="693" t="s">
        <v>327</v>
      </c>
      <c r="AK81" s="493" t="s">
        <v>360</v>
      </c>
      <c r="AL81" s="494">
        <v>2019</v>
      </c>
      <c r="AM81" s="162"/>
      <c r="AN81" s="53"/>
      <c r="AO81" s="324">
        <f>AB81+1</f>
        <v>5</v>
      </c>
      <c r="AP81" s="256" t="str">
        <f>IF(AD81=AB81,"%",IF(AD81&gt;AB81,"/"))</f>
        <v>/</v>
      </c>
      <c r="AQ81" s="87">
        <f>IF(AND(AD81=AB81,AO81=4),5,IF(AND(AD81=AB81,AO81&gt;4),AO81+1,IF(AD81&gt;AB81,AD81)))</f>
        <v>9</v>
      </c>
      <c r="AR81" s="2180">
        <f>IF(AD82=AB81,"%",IF(AD82&gt;AB81,AE81+BE81))</f>
        <v>3.66</v>
      </c>
      <c r="AS81" s="2265"/>
      <c r="AT81" s="48" t="s">
        <v>342</v>
      </c>
      <c r="AU81" s="484" t="s">
        <v>360</v>
      </c>
      <c r="AV81" s="693" t="s">
        <v>327</v>
      </c>
      <c r="AW81" s="484" t="s">
        <v>360</v>
      </c>
      <c r="AX81" s="273">
        <v>2022</v>
      </c>
      <c r="AY81" s="91"/>
      <c r="AZ81" s="694" t="s">
        <v>653</v>
      </c>
      <c r="BA81" s="480"/>
      <c r="BB81" s="51">
        <f t="shared" si="124"/>
        <v>3</v>
      </c>
      <c r="BC81" s="328">
        <f t="shared" si="125"/>
        <v>-24271</v>
      </c>
      <c r="BD81" s="280">
        <f>VLOOKUP(Y81,'Du lieu lien quan'!$C$1:$F$60,3,0)</f>
        <v>2.34</v>
      </c>
      <c r="BE81" s="280">
        <f>VLOOKUP(Y81,'Du lieu lien quan'!$C$1:$F$60,4,0)</f>
        <v>0.33</v>
      </c>
      <c r="BF81" s="57" t="str">
        <f t="shared" si="126"/>
        <v>o-o-o</v>
      </c>
      <c r="BG81" s="59"/>
      <c r="BH81" s="424"/>
      <c r="BI81" s="423"/>
      <c r="BJ81" s="489"/>
      <c r="BK81" s="416"/>
      <c r="BL81" s="489"/>
      <c r="BM81" s="103"/>
      <c r="BN81" s="162"/>
      <c r="BO81" s="62"/>
      <c r="BP81" s="59"/>
      <c r="BQ81" s="429"/>
      <c r="BR81" s="60"/>
      <c r="BS81" s="484"/>
      <c r="BT81" s="417"/>
      <c r="BU81" s="484"/>
      <c r="BV81" s="50"/>
      <c r="BW81" s="61"/>
      <c r="BX81" s="161"/>
      <c r="BY81" s="329" t="str">
        <f t="shared" si="127"/>
        <v>- - -</v>
      </c>
      <c r="BZ81" s="57" t="str">
        <f>IF(AND(CV81="Hưu",BG81&gt;3),12-(12*(DB81-BV81)+(DA81-BT81))-BN81,"- - -")</f>
        <v>- - -</v>
      </c>
      <c r="CA81" s="392" t="str">
        <f t="shared" si="129"/>
        <v>Chánh Văn phòng Học viện, Trưởng Ban Tổ chức - Cán bộ, Trưởng Phân viện Học viện Hành chính Quốc gia tại Thành phố Hồ Chí Minh</v>
      </c>
      <c r="CB81" s="63" t="str">
        <f t="shared" si="130"/>
        <v>A</v>
      </c>
      <c r="CC81" s="41" t="str">
        <f t="shared" si="131"/>
        <v>=&gt; s</v>
      </c>
      <c r="CD81" s="52">
        <f t="shared" si="132"/>
        <v>24295</v>
      </c>
      <c r="CE81" s="35" t="str">
        <f t="shared" si="133"/>
        <v>---</v>
      </c>
      <c r="CF81" s="35"/>
      <c r="CG81" s="379"/>
      <c r="CH81" s="35"/>
      <c r="CI81" s="35"/>
      <c r="CJ81" s="35" t="str">
        <f t="shared" si="134"/>
        <v>- - -</v>
      </c>
      <c r="CK81" s="55" t="str">
        <f t="shared" si="135"/>
        <v>- - -</v>
      </c>
      <c r="CL81" s="65"/>
      <c r="CM81" s="66"/>
      <c r="CN81" s="65"/>
      <c r="CO81" s="84"/>
      <c r="CP81" s="55" t="str">
        <f t="shared" si="136"/>
        <v>- - -</v>
      </c>
      <c r="CQ81" s="65"/>
      <c r="CR81" s="36"/>
      <c r="CS81" s="65"/>
      <c r="CT81" s="84"/>
      <c r="CU81" s="69" t="str">
        <f>IF(AND(CV81="Hưu",AB81&lt;(AD81-1),DC81&gt;0,DC81&lt;18,OR(BG81&lt;4,AND(BG81&gt;3,OR(BZ81&lt;3,BZ81&gt;5)))),"Lg Sớm",IF(AND(CV81="Hưu",AB81&gt;(AD81-2),OR(BE81=0.33,BE81=0.34),OR(BG81&lt;4,AND(BG81&gt;3,OR(BZ81&lt;3,BZ81&gt;5)))),"Nâng Ngạch",IF(AND(CV81="Hưu",BB81=1,DC81&gt;2,DC81&lt;6,OR(BG81&lt;4,AND(BG81&gt;3,OR(BZ81&lt;3,BZ81&gt;5)))),"Nâng PcVK cùng QĐ",IF(AND(CV81="Hưu",BG81&gt;3,BZ81&gt;2,BZ81&lt;6,AB81&lt;(AD81-1),DC81&gt;17,OR(BB81&gt;1,AND(BB81=1,OR(DC81&lt;3,DC81&gt;5)))),"Nâng PcNG cùng QĐ",IF(AND(CV81="Hưu",AB81&lt;(AD81-1),DC81&gt;0,DC81&lt;18,BG81&gt;3,BZ81&gt;2,BZ81&lt;6),"Nâng Lg Sớm +(PcNG cùng QĐ)",IF(AND(CV81="Hưu",AB81&gt;(AD81-2),OR(BE81=0.33,BE81=0.34),BG81&gt;3,BZ81&gt;2,BZ81&lt;6),"Nâng Ngạch +(PcNG cùng QĐ)",IF(AND(CV81="Hưu",BB81=1,DC81&gt;2,DC81&lt;6,BG81&gt;3,BZ81&gt;2,BZ81&lt;6),"Nâng (PcVK +PcNG) cùng QĐ",("---"))))))))</f>
        <v>---</v>
      </c>
      <c r="CV81" s="70" t="str">
        <f t="shared" si="137"/>
        <v>/-/ /-/</v>
      </c>
      <c r="CW81" s="67">
        <f t="shared" si="138"/>
        <v>11</v>
      </c>
      <c r="CX81" s="68">
        <f t="shared" si="139"/>
        <v>2041</v>
      </c>
      <c r="CY81" s="67">
        <f t="shared" si="140"/>
        <v>8</v>
      </c>
      <c r="CZ81" s="68">
        <f t="shared" si="141"/>
        <v>2041</v>
      </c>
      <c r="DA81" s="67">
        <f t="shared" si="142"/>
        <v>5</v>
      </c>
      <c r="DB81" s="68">
        <f t="shared" si="143"/>
        <v>2041</v>
      </c>
      <c r="DC81" s="71" t="str">
        <f t="shared" si="144"/>
        <v>- - -</v>
      </c>
      <c r="DD81" s="72" t="str">
        <f t="shared" si="145"/>
        <v>. .</v>
      </c>
      <c r="DE81" s="72"/>
      <c r="DF81" s="52">
        <f t="shared" si="146"/>
        <v>660</v>
      </c>
      <c r="DG81" s="52">
        <f t="shared" si="147"/>
        <v>-23830</v>
      </c>
      <c r="DH81" s="52">
        <f t="shared" si="148"/>
        <v>-1986</v>
      </c>
      <c r="DI81" s="52" t="str">
        <f t="shared" si="149"/>
        <v>Nữ dưới 30</v>
      </c>
      <c r="DJ81" s="52"/>
      <c r="DK81" s="52"/>
      <c r="DL81" s="57" t="str">
        <f t="shared" si="150"/>
        <v>Đến 30</v>
      </c>
      <c r="DM81" s="65" t="str">
        <f t="shared" si="151"/>
        <v>--</v>
      </c>
      <c r="DN81" s="36"/>
      <c r="DO81" s="89"/>
      <c r="DP81" s="73"/>
      <c r="DQ81" s="36"/>
      <c r="DR81" s="36"/>
      <c r="DS81" s="74"/>
      <c r="DT81" s="40"/>
      <c r="DU81" s="76"/>
      <c r="DV81" s="91"/>
      <c r="DW81" s="37" t="s">
        <v>12</v>
      </c>
      <c r="DX81" s="391" t="s">
        <v>416</v>
      </c>
      <c r="DY81" s="37" t="s">
        <v>12</v>
      </c>
      <c r="DZ81" s="48" t="s">
        <v>351</v>
      </c>
      <c r="EA81" s="49" t="s">
        <v>360</v>
      </c>
      <c r="EB81" s="49" t="s">
        <v>345</v>
      </c>
      <c r="EC81" s="49" t="s">
        <v>360</v>
      </c>
      <c r="ED81" s="77">
        <v>2013</v>
      </c>
      <c r="EE81" s="49">
        <f t="shared" si="152"/>
        <v>14</v>
      </c>
      <c r="EF81" s="78" t="str">
        <f t="shared" si="153"/>
        <v>Sửa</v>
      </c>
      <c r="EG81" s="48" t="s">
        <v>342</v>
      </c>
      <c r="EH81" s="49" t="s">
        <v>360</v>
      </c>
      <c r="EI81" s="374" t="s">
        <v>348</v>
      </c>
      <c r="EJ81" s="49" t="s">
        <v>360</v>
      </c>
      <c r="EK81" s="77">
        <v>2013</v>
      </c>
      <c r="EL81" s="35"/>
      <c r="EM81" s="55" t="str">
        <f t="shared" si="154"/>
        <v>- - -</v>
      </c>
      <c r="EN81" s="79" t="str">
        <f t="shared" si="155"/>
        <v>---</v>
      </c>
      <c r="EO81" s="91"/>
      <c r="EP81" s="80"/>
      <c r="EQ81" s="80"/>
      <c r="ER81" s="80"/>
      <c r="ES81" s="80"/>
      <c r="ET81" s="80"/>
      <c r="EU81" s="80"/>
      <c r="EV81" s="80"/>
      <c r="EW81" s="80"/>
      <c r="EX81" s="80"/>
      <c r="EY81" s="80"/>
      <c r="EZ81" s="80"/>
      <c r="FA81" s="80"/>
      <c r="FB81" s="80"/>
      <c r="FC81" s="80"/>
      <c r="FD81" s="80"/>
      <c r="FE81" s="80"/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</row>
    <row r="82" spans="1:174" s="138" customFormat="1" ht="11.25" customHeight="1" x14ac:dyDescent="0.2">
      <c r="A82" s="101">
        <v>770</v>
      </c>
      <c r="B82" s="517">
        <v>18</v>
      </c>
      <c r="C82" s="35"/>
      <c r="D82" s="35" t="str">
        <f t="shared" si="117"/>
        <v>Bà</v>
      </c>
      <c r="E82" s="40" t="s">
        <v>103</v>
      </c>
      <c r="F82" s="35" t="s">
        <v>381</v>
      </c>
      <c r="G82" s="64" t="s">
        <v>288</v>
      </c>
      <c r="H82" s="620" t="s">
        <v>360</v>
      </c>
      <c r="I82" s="64" t="s">
        <v>372</v>
      </c>
      <c r="J82" s="620" t="s">
        <v>360</v>
      </c>
      <c r="K82" s="40">
        <v>1967</v>
      </c>
      <c r="L82" s="193" t="s">
        <v>452</v>
      </c>
      <c r="M82" s="652" t="str">
        <f t="shared" si="118"/>
        <v>VC</v>
      </c>
      <c r="N82" s="199"/>
      <c r="O82" s="621" t="e">
        <f t="shared" si="119"/>
        <v>#VALUE!</v>
      </c>
      <c r="P82" s="40" t="s">
        <v>250</v>
      </c>
      <c r="Q82" s="371" t="str">
        <f>VLOOKUP(P82,'[1]- DLiêu Gốc (Không sửa)'!$C$2:$H$116,2,0)</f>
        <v>0,4</v>
      </c>
      <c r="R82" s="40" t="s">
        <v>370</v>
      </c>
      <c r="S82" s="646" t="s">
        <v>557</v>
      </c>
      <c r="T82" s="38" t="str">
        <f>VLOOKUP(Y82,'Du lieu lien quan'!$C$2:$H$60,5,0)</f>
        <v>A1</v>
      </c>
      <c r="U82" s="39" t="str">
        <f>VLOOKUP(Y82,'Du lieu lien quan'!$C$2:$H$60,6,0)</f>
        <v>- - -</v>
      </c>
      <c r="V82" s="663" t="s">
        <v>425</v>
      </c>
      <c r="W82" s="370" t="str">
        <f t="shared" si="120"/>
        <v>Chuyên viên</v>
      </c>
      <c r="X82" s="373" t="str">
        <f t="shared" si="121"/>
        <v>01.003</v>
      </c>
      <c r="Y82" s="397" t="s">
        <v>340</v>
      </c>
      <c r="Z82" s="397" t="str">
        <f>VLOOKUP(Y82,'Du lieu lien quan'!$C$1:$H$133,2,0)</f>
        <v>01.003</v>
      </c>
      <c r="AA82" s="52" t="str">
        <f t="shared" si="122"/>
        <v>Lương</v>
      </c>
      <c r="AB82" s="175">
        <v>9</v>
      </c>
      <c r="AC82" s="495" t="str">
        <f>IF(AD82&gt;0,"/")</f>
        <v>/</v>
      </c>
      <c r="AD82" s="43">
        <f>IF(OR(BE82=0.18,BE82=0.2),12,IF(BE82=0.31,10,IF(BE82=0.33,9,IF(BE82=0.34,8,IF(BE82=0.36,6)))))</f>
        <v>9</v>
      </c>
      <c r="AE82" s="44">
        <f t="shared" si="123"/>
        <v>4.9800000000000004</v>
      </c>
      <c r="AF82" s="45">
        <v>12</v>
      </c>
      <c r="AG82" s="490" t="str">
        <f>IF(AD82=AB82,"%",IF(AD82&gt;AB82,"/"))</f>
        <v>%</v>
      </c>
      <c r="AH82" s="48" t="s">
        <v>342</v>
      </c>
      <c r="AI82" s="484" t="s">
        <v>360</v>
      </c>
      <c r="AJ82" s="693" t="s">
        <v>327</v>
      </c>
      <c r="AK82" s="500" t="s">
        <v>360</v>
      </c>
      <c r="AL82" s="50">
        <v>2021</v>
      </c>
      <c r="AM82" s="162"/>
      <c r="AN82" s="53"/>
      <c r="AO82" s="2266"/>
      <c r="AP82" s="2266"/>
      <c r="AQ82" s="521"/>
      <c r="AR82" s="508">
        <f>IF(AND(AD82=AB82,AF82=0),5,IF(AND(AD82=AB82,AF82&gt;4),AF82+1,IF(AD82&gt;AB82,AD82)))</f>
        <v>13</v>
      </c>
      <c r="AS82" s="413" t="str">
        <f>IF(AD82=AB82,"%",IF(AD82&gt;AB82,AE82+BE82))</f>
        <v>%</v>
      </c>
      <c r="AT82" s="48" t="s">
        <v>342</v>
      </c>
      <c r="AU82" s="484" t="s">
        <v>360</v>
      </c>
      <c r="AV82" s="693" t="s">
        <v>327</v>
      </c>
      <c r="AW82" s="500" t="s">
        <v>360</v>
      </c>
      <c r="AX82" s="273">
        <v>2022</v>
      </c>
      <c r="AY82" s="91"/>
      <c r="AZ82" s="477"/>
      <c r="BA82" s="480"/>
      <c r="BB82" s="51">
        <f t="shared" si="124"/>
        <v>1</v>
      </c>
      <c r="BC82" s="328">
        <f t="shared" si="125"/>
        <v>-24271</v>
      </c>
      <c r="BD82" s="280">
        <f>VLOOKUP(Y82,'Du lieu lien quan'!$C$1:$F$60,3,0)</f>
        <v>2.34</v>
      </c>
      <c r="BE82" s="280">
        <f>VLOOKUP(Y82,'Du lieu lien quan'!$C$1:$F$60,4,0)</f>
        <v>0.33</v>
      </c>
      <c r="BF82" s="57" t="str">
        <f t="shared" si="126"/>
        <v>o-o-o</v>
      </c>
      <c r="BG82" s="58"/>
      <c r="BH82" s="424"/>
      <c r="BI82" s="423"/>
      <c r="BJ82" s="489"/>
      <c r="BK82" s="416"/>
      <c r="BL82" s="489"/>
      <c r="BM82" s="103"/>
      <c r="BN82" s="162"/>
      <c r="BO82" s="62"/>
      <c r="BP82" s="59"/>
      <c r="BQ82" s="429"/>
      <c r="BR82" s="60"/>
      <c r="BS82" s="484"/>
      <c r="BT82" s="417"/>
      <c r="BU82" s="484"/>
      <c r="BV82" s="50"/>
      <c r="BW82" s="140"/>
      <c r="BX82" s="161"/>
      <c r="BY82" s="329" t="str">
        <f t="shared" si="127"/>
        <v>- - -</v>
      </c>
      <c r="BZ82" s="57" t="str">
        <f>IF(AND(CV82="Hưu",BG82&gt;3),12-(12*(DB82-BV82)+(DA82-BT82))-BN82,"- - -")</f>
        <v>- - -</v>
      </c>
      <c r="CA82" s="392" t="str">
        <f t="shared" si="129"/>
        <v>Chánh Văn phòng Học viện, Trưởng Ban Tổ chức - Cán bộ, Trưởng Phân viện Học viện Hành chính Quốc gia tại Thành phố Hồ Chí Minh</v>
      </c>
      <c r="CB82" s="63" t="str">
        <f t="shared" si="130"/>
        <v>A</v>
      </c>
      <c r="CC82" s="41" t="str">
        <f>IF(AND(AF82&gt;0,AB82&lt;(AD82-1),CD82&gt;0,CD82&lt;13,OR(AND(CJ82="Cùg Ng",($CC$2-CF82)&gt;BB82),CJ82="- - -")),"Sớm TT","=&gt; s")</f>
        <v>=&gt; s</v>
      </c>
      <c r="CD82" s="52" t="str">
        <f t="shared" si="132"/>
        <v>---</v>
      </c>
      <c r="CE82" s="35" t="str">
        <f t="shared" si="133"/>
        <v>---</v>
      </c>
      <c r="CF82" s="35"/>
      <c r="CG82" s="379"/>
      <c r="CH82" s="35"/>
      <c r="CI82" s="141"/>
      <c r="CJ82" s="35" t="str">
        <f t="shared" si="134"/>
        <v>- - -</v>
      </c>
      <c r="CK82" s="55" t="str">
        <f t="shared" si="135"/>
        <v>- - -</v>
      </c>
      <c r="CL82" s="65"/>
      <c r="CM82" s="66"/>
      <c r="CN82" s="65"/>
      <c r="CO82" s="84"/>
      <c r="CP82" s="55" t="str">
        <f t="shared" si="136"/>
        <v>- - -</v>
      </c>
      <c r="CQ82" s="65"/>
      <c r="CR82" s="66"/>
      <c r="CS82" s="65"/>
      <c r="CT82" s="84"/>
      <c r="CU82" s="69" t="str">
        <f>IF(AND(CV82="Hưu",AB82&lt;(AD82-1),DC82&gt;0,DC82&lt;18,OR(BG82&lt;4,AND(BG82&gt;3,OR(BZ82&lt;3,BZ82&gt;5)))),"Lg Sớm",IF(AND(CV82="Hưu",AB82&gt;(AD82-2),OR(BE82=0.33,BE82=0.34),OR(BG82&lt;4,AND(BG82&gt;3,OR(BZ82&lt;3,BZ82&gt;5)))),"Nâng Ngạch",IF(AND(CV82="Hưu",BB82=1,DC82&gt;2,DC82&lt;6,OR(BG82&lt;4,AND(BG82&gt;3,OR(BZ82&lt;3,BZ82&gt;5)))),"Nâng PcVK cùng QĐ",IF(AND(CV82="Hưu",BG82&gt;3,BZ82&gt;2,BZ82&lt;6,AB82&lt;(AD82-1),DC82&gt;17,OR(BB82&gt;1,AND(BB82=1,OR(DC82&lt;3,DC82&gt;5)))),"Nâng PcNG cùng QĐ",IF(AND(CV82="Hưu",AB82&lt;(AD82-1),DC82&gt;0,DC82&lt;18,BG82&gt;3,BZ82&gt;2,BZ82&lt;6),"Nâng Lg Sớm +(PcNG cùng QĐ)",IF(AND(CV82="Hưu",AB82&gt;(AD82-2),OR(BE82=0.33,BE82=0.34),BG82&gt;3,BZ82&gt;2,BZ82&lt;6),"Nâng Ngạch +(PcNG cùng QĐ)",IF(AND(CV82="Hưu",BB82=1,DC82&gt;2,DC82&lt;6,BG82&gt;3,BZ82&gt;2,BZ82&lt;6),"Nâng (PcVK +PcNG) cùng QĐ",("---"))))))))</f>
        <v>---</v>
      </c>
      <c r="CV82" s="70" t="str">
        <f t="shared" si="137"/>
        <v>/-/ /-/</v>
      </c>
      <c r="CW82" s="67">
        <f t="shared" si="138"/>
        <v>11</v>
      </c>
      <c r="CX82" s="68">
        <f t="shared" si="139"/>
        <v>2022</v>
      </c>
      <c r="CY82" s="67">
        <f t="shared" si="140"/>
        <v>8</v>
      </c>
      <c r="CZ82" s="68">
        <f t="shared" si="141"/>
        <v>2022</v>
      </c>
      <c r="DA82" s="67">
        <f t="shared" si="142"/>
        <v>5</v>
      </c>
      <c r="DB82" s="68">
        <f t="shared" si="143"/>
        <v>2022</v>
      </c>
      <c r="DC82" s="71" t="str">
        <f t="shared" si="144"/>
        <v>- - -</v>
      </c>
      <c r="DD82" s="72" t="str">
        <f t="shared" si="145"/>
        <v>. .</v>
      </c>
      <c r="DE82" s="72"/>
      <c r="DF82" s="52">
        <f t="shared" si="146"/>
        <v>660</v>
      </c>
      <c r="DG82" s="52">
        <f t="shared" si="147"/>
        <v>-23602</v>
      </c>
      <c r="DH82" s="52">
        <f t="shared" si="148"/>
        <v>-1967</v>
      </c>
      <c r="DI82" s="52" t="str">
        <f t="shared" si="149"/>
        <v>Nữ dưới 30</v>
      </c>
      <c r="DJ82" s="52"/>
      <c r="DK82" s="52"/>
      <c r="DL82" s="57" t="str">
        <f t="shared" si="150"/>
        <v>Đến 30</v>
      </c>
      <c r="DM82" s="142" t="str">
        <f t="shared" si="151"/>
        <v>--</v>
      </c>
      <c r="DN82" s="143"/>
      <c r="DO82" s="89"/>
      <c r="DP82" s="145"/>
      <c r="DQ82" s="144"/>
      <c r="DR82" s="143"/>
      <c r="DS82" s="146"/>
      <c r="DT82" s="147"/>
      <c r="DU82" s="76"/>
      <c r="DV82" s="91"/>
      <c r="DW82" s="37" t="s">
        <v>370</v>
      </c>
      <c r="DX82" s="391" t="s">
        <v>416</v>
      </c>
      <c r="DY82" s="37" t="s">
        <v>368</v>
      </c>
      <c r="DZ82" s="48" t="s">
        <v>342</v>
      </c>
      <c r="EA82" s="49" t="s">
        <v>360</v>
      </c>
      <c r="EB82" s="690" t="s">
        <v>348</v>
      </c>
      <c r="EC82" s="49" t="s">
        <v>360</v>
      </c>
      <c r="ED82" s="77" t="s">
        <v>364</v>
      </c>
      <c r="EE82" s="49">
        <f t="shared" si="152"/>
        <v>0</v>
      </c>
      <c r="EF82" s="78" t="str">
        <f t="shared" si="153"/>
        <v>- - -</v>
      </c>
      <c r="EG82" s="48" t="s">
        <v>342</v>
      </c>
      <c r="EH82" s="49" t="s">
        <v>360</v>
      </c>
      <c r="EI82" s="139" t="s">
        <v>348</v>
      </c>
      <c r="EJ82" s="49" t="s">
        <v>360</v>
      </c>
      <c r="EK82" s="77" t="s">
        <v>364</v>
      </c>
      <c r="EL82" s="35"/>
      <c r="EM82" s="55" t="str">
        <f>IF(AND(BE82&gt;0.34,AF82=1,OR(BD82=6.2,BD82=5.75)),((BD82-EL82)-2*0.34),IF(AND(BE82&gt;0.33,AF82=1,OR(BD82=4.4,BD82=4)),((BD82-EL82)-2*0.33),"- - -"))</f>
        <v>- - -</v>
      </c>
      <c r="EN82" s="79" t="str">
        <f t="shared" si="155"/>
        <v>---</v>
      </c>
      <c r="EO82" s="91"/>
      <c r="EP82" s="98"/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/>
      <c r="FB82" s="98"/>
      <c r="FC82" s="98"/>
      <c r="FD82" s="98"/>
      <c r="FE82" s="98"/>
      <c r="FF82" s="98"/>
      <c r="FG82" s="98"/>
      <c r="FH82" s="98"/>
      <c r="FI82" s="98"/>
      <c r="FJ82" s="98"/>
      <c r="FK82" s="98"/>
      <c r="FL82" s="98"/>
      <c r="FM82" s="98"/>
      <c r="FN82" s="663"/>
      <c r="FO82" s="663"/>
      <c r="FP82" s="663"/>
      <c r="FQ82" s="663"/>
      <c r="FR82" s="663"/>
    </row>
    <row r="83" spans="1:174" s="319" customFormat="1" ht="11.25" customHeight="1" x14ac:dyDescent="0.2">
      <c r="A83" s="101">
        <v>566</v>
      </c>
      <c r="B83" s="517">
        <v>19</v>
      </c>
      <c r="C83" s="35"/>
      <c r="D83" s="35" t="str">
        <f t="shared" ref="D83:D94" si="156">IF(F83="Nam","Ông","Bà")</f>
        <v>Ông</v>
      </c>
      <c r="E83" s="40" t="s">
        <v>293</v>
      </c>
      <c r="F83" s="35" t="s">
        <v>379</v>
      </c>
      <c r="G83" s="64" t="s">
        <v>343</v>
      </c>
      <c r="H83" s="620" t="s">
        <v>360</v>
      </c>
      <c r="I83" s="64" t="s">
        <v>349</v>
      </c>
      <c r="J83" s="620" t="s">
        <v>360</v>
      </c>
      <c r="K83" s="40" t="s">
        <v>324</v>
      </c>
      <c r="L83" s="193" t="s">
        <v>452</v>
      </c>
      <c r="M83" s="652" t="str">
        <f t="shared" ref="M83:M94" si="157">IF(L83="công chức","CC",IF(L83="viên chức","VC",IF(L83="người lao động","NLĐ","- - -")))</f>
        <v>VC</v>
      </c>
      <c r="N83" s="199"/>
      <c r="O83" s="621" t="e">
        <f t="shared" ref="O83:O92" si="158">IF(AND((Q83+0)&gt;0.3,(Q83+0)&lt;1.5),"CVụ","- -")</f>
        <v>#VALUE!</v>
      </c>
      <c r="P83" s="40" t="s">
        <v>249</v>
      </c>
      <c r="Q83" s="371" t="str">
        <f>VLOOKUP(P83,'[1]- DLiêu Gốc (Không sửa)'!$C$2:$H$116,2,0)</f>
        <v>0,6</v>
      </c>
      <c r="R83" s="40" t="s">
        <v>76</v>
      </c>
      <c r="S83" s="263" t="s">
        <v>125</v>
      </c>
      <c r="T83" s="38" t="str">
        <f>VLOOKUP(Y83,'Du lieu lien quan'!$C$2:$H$60,5,0)</f>
        <v>A3</v>
      </c>
      <c r="U83" s="39" t="str">
        <f>VLOOKUP(Y83,'Du lieu lien quan'!$C$2:$H$60,6,0)</f>
        <v>A3.1</v>
      </c>
      <c r="V83" s="663" t="s">
        <v>425</v>
      </c>
      <c r="W83" s="370" t="str">
        <f t="shared" ref="W83:W94" si="159">IF(OR(Y83="Kỹ thuật viên đánh máy",Y83="Nhân viên đánh máy",Y83="Nhân viên kỹ thuật",Y83="Nhân viên văn thư",Y83="Nhân viên phục vụ",Y83="Lái xe cơ quan",Y83="Nhân viên bảo vệ"),"Nhân viên",Y83)</f>
        <v>Chuyên viên cao cấp</v>
      </c>
      <c r="X83" s="373" t="str">
        <f t="shared" ref="X83:X94" si="160">IF(W83="Nhân viên","01.005",Z83)</f>
        <v>01.001</v>
      </c>
      <c r="Y83" s="397" t="s">
        <v>354</v>
      </c>
      <c r="Z83" s="397" t="str">
        <f>VLOOKUP(Y83,'Du lieu lien quan'!$C$1:$H$133,2,0)</f>
        <v>01.001</v>
      </c>
      <c r="AA83" s="52" t="str">
        <f t="shared" ref="AA83:AA94" si="161">IF(OR(AND(BC83=36,BB83=3),AND(BC83=24,BB83=2),AND(BC83=12,BB83=1)),"Đến $",IF(OR(AND(BC83&gt;36,BB83=3),AND(BC83&gt;24,BB83=2),AND(BC83&gt;12,BB83=1)),"Dừng $","Lương"))</f>
        <v>Lương</v>
      </c>
      <c r="AB83" s="175">
        <v>3</v>
      </c>
      <c r="AC83" s="495" t="str">
        <f t="shared" ref="AC83:AC94" si="162">IF(AD83&gt;0,"/")</f>
        <v>/</v>
      </c>
      <c r="AD83" s="43">
        <f t="shared" ref="AD83:AD94" si="163">IF(OR(BE83=0.18,BE83=0.2),12,IF(BE83=0.31,10,IF(BE83=0.33,9,IF(BE83=0.34,8,IF(BE83=0.36,6)))))</f>
        <v>6</v>
      </c>
      <c r="AE83" s="44">
        <f t="shared" ref="AE83:AE94" si="164">BD83+(AB83-1)*BE83</f>
        <v>6.92</v>
      </c>
      <c r="AF83" s="409"/>
      <c r="AG83" s="409"/>
      <c r="AH83" s="485" t="s">
        <v>342</v>
      </c>
      <c r="AI83" s="493" t="s">
        <v>360</v>
      </c>
      <c r="AJ83" s="109" t="s">
        <v>342</v>
      </c>
      <c r="AK83" s="493" t="s">
        <v>360</v>
      </c>
      <c r="AL83" s="876">
        <v>2019</v>
      </c>
      <c r="AM83" s="162"/>
      <c r="AN83" s="53"/>
      <c r="AO83" s="45">
        <f t="shared" ref="AO83:AO87" si="165">AB83+1</f>
        <v>4</v>
      </c>
      <c r="AP83" s="490" t="str">
        <f t="shared" ref="AP83:AP87" si="166">IF(AD83=AB83,"%",IF(AD83&gt;AB83,"/"))</f>
        <v>/</v>
      </c>
      <c r="AQ83" s="87">
        <f t="shared" ref="AQ83:AQ87" si="167">IF(AND(AD83=AB83,AO83=4),5,IF(AND(AD83=AB83,AO83&gt;4),AO83+1,IF(AD83&gt;AB83,AD83)))</f>
        <v>6</v>
      </c>
      <c r="AR83" s="47">
        <f t="shared" ref="AR83:AR87" si="168">IF(AD83=AB83,"%",IF(AD83&gt;AB83,AE83+BE83))</f>
        <v>7.28</v>
      </c>
      <c r="AS83" s="413"/>
      <c r="AT83" s="48" t="s">
        <v>342</v>
      </c>
      <c r="AU83" s="484" t="s">
        <v>360</v>
      </c>
      <c r="AV83" s="49" t="s">
        <v>342</v>
      </c>
      <c r="AW83" s="484" t="s">
        <v>360</v>
      </c>
      <c r="AX83" s="50">
        <v>2022</v>
      </c>
      <c r="AY83" s="523"/>
      <c r="AZ83" s="266"/>
      <c r="BA83" s="480"/>
      <c r="BB83" s="51">
        <f t="shared" ref="BB83:BB94" si="169">IF(AND(AD83&gt;AB83,OR(BE83=0.18,BE83=0.2)),2,IF(AND(AD83&gt;AB83,OR(BE83=0.31,BE83=0.33,BE83=0.34,BE83=0.36)),3,IF(AD83=AB83,1)))</f>
        <v>3</v>
      </c>
      <c r="BC83" s="328">
        <f t="shared" ref="BC83:BC94" si="170">12*($AA$2-AX83)+($AA$3-AV83)-AM83</f>
        <v>-24265</v>
      </c>
      <c r="BD83" s="280">
        <f>VLOOKUP(Y83,'Du lieu lien quan'!$C$1:$F$60,3,0)</f>
        <v>6.2</v>
      </c>
      <c r="BE83" s="280">
        <f>VLOOKUP(Y83,'Du lieu lien quan'!$C$1:$F$60,4,0)</f>
        <v>0.36</v>
      </c>
      <c r="BF83" s="57" t="str">
        <f t="shared" ref="BF83:BF94" si="171">IF(AND(BG83&gt;3,BY83=12),"Đến %",IF(AND(BG83&gt;3,BY83&gt;12,BY83&lt;120),"Dừng %",IF(AND(BG83&gt;3,BY83&lt;12),"PCTN","o-o-o")))</f>
        <v>o-o-o</v>
      </c>
      <c r="BG83" s="58"/>
      <c r="BH83" s="424"/>
      <c r="BI83" s="423"/>
      <c r="BJ83" s="489"/>
      <c r="BK83" s="416"/>
      <c r="BL83" s="489"/>
      <c r="BM83" s="103"/>
      <c r="BN83" s="162"/>
      <c r="BO83" s="62"/>
      <c r="BP83" s="59"/>
      <c r="BQ83" s="429"/>
      <c r="BR83" s="60"/>
      <c r="BS83" s="484"/>
      <c r="BT83" s="417"/>
      <c r="BU83" s="484"/>
      <c r="BV83" s="50"/>
      <c r="BW83" s="61"/>
      <c r="BX83" s="161"/>
      <c r="BY83" s="329" t="str">
        <f t="shared" ref="BY83:BY92" si="172">IF(BG83&gt;3,(($BF$2-BV83)*12+($BF$3-BT83)-BN83),"- - -")</f>
        <v>- - -</v>
      </c>
      <c r="BZ83" s="57" t="str">
        <f t="shared" ref="BZ83" si="173">IF(AND(CV83="Hưu",BG83&gt;3),12-(12*(DB83-BV83)+(DA83-BT83))-BN83,"- - -")</f>
        <v>- - -</v>
      </c>
      <c r="CA83" s="392" t="str">
        <f t="shared" ref="CA83:CA92" si="174">IF(OR(S83="Ban Tổ chức - Cán bộ",S83="Văn phòng Học viện",S83="Phó Giám đốc Thường trực Học viện",S83="Phó Giám đốc Học viện"),"Chánh Văn phòng Học viện, Trưởng Ban Tổ chức - Cán bộ",IF(OR(S83="Trung tâm Ngoại ngữ",S83="Trung tâm Tin học hành chính và Công nghệ thông tin",S83="Trung tâm Tin học - Thư viện",S83="Phân viện khu vực Tây Nguyên"),"Chánh Văn phòng Học viện, Trưởng Ban Tổ chức - Cán bộ, "&amp;CONCATENATE("Giám đốc ",S83),IF(S83="Tạp chí Quản lý nhà nước","Chánh Văn phòng Học viện, Trưởng Ban Tổ chức - Cán bộ, "&amp;CONCATENATE("Tổng Biên tập ",S83),IF(S83="Văn phòng Đảng uỷ Học viện","Chánh Văn phòng Học viện, Trưởng Ban Tổ chức - Cán bộ, "&amp;CONCATENATE("Chánh",S83),IF(S83="Viện Nghiên cứu Khoa học hành chính","Chánh Văn phòng Học viện, Trưởng Ban Tổ chức - Cán bộ, "&amp;CONCATENATE("Viện Trưởng ",S83),IF(OR(S83="Cơ sở Học viện Hành chính Quốc gia khu vực miền Trung",S83="Cơ sở Học viện Hành chính Quốc gia tại Thành phố Hồ Chí Minh"),"Chánh Văn phòng Học viện, Trưởng Ban Tổ chức - Cán bộ, "&amp;CONCATENATE("Thủ trưởng ",S83),"Chánh Văn phòng Học viện, Trưởng Ban Tổ chức - Cán bộ, "&amp;CONCATENATE("Trưởng ",S83)))))))</f>
        <v>Chánh Văn phòng Học viện, Trưởng Ban Tổ chức - Cán bộ, Viện Trưởng Viện Nghiên cứu Khoa học hành chính</v>
      </c>
      <c r="CB83" s="63" t="str">
        <f t="shared" ref="CB83:CB92" si="175">IF(S83="Cơ sở Học viện Hành chính khu vực miền Trung","B",IF(S83="Phân viện Khu vực Tây Nguyên","C",IF(S83="Cơ sở Học viện Hành chính tại thành phố Hồ Chí Minh","D","A")))</f>
        <v>A</v>
      </c>
      <c r="CC83" s="41" t="str">
        <f t="shared" ref="CC83:CC87" si="176">IF(AND(AO83&gt;0,AB83&lt;(AD83-1),CD83&gt;0,CD83&lt;13,OR(AND(CJ83="Cùg Ng",($CC$2-CF83)&gt;BB83),CJ83="- - -")),"Sớm TT","=&gt; s")</f>
        <v>=&gt; s</v>
      </c>
      <c r="CD83" s="52">
        <f t="shared" ref="CD83:CD92" si="177">IF(BB83=3,36-(12*($CC$2-AX83)+(12-AV83)-AM83),IF(BB83=2,24-(12*($CC$2-AX83)+(12-AV83)-AM83),"---"))</f>
        <v>24289</v>
      </c>
      <c r="CE83" s="35" t="str">
        <f t="shared" ref="CE83:CE92" si="178">IF(CF83&gt;1,"S","---")</f>
        <v>S</v>
      </c>
      <c r="CF83" s="35">
        <v>2007</v>
      </c>
      <c r="CG83" s="379" t="s">
        <v>168</v>
      </c>
      <c r="CH83" s="35"/>
      <c r="CI83" s="35"/>
      <c r="CJ83" s="35" t="str">
        <f t="shared" ref="CJ83:CJ92" si="179">IF(X83=CG83,"Cùg Ng","- - -")</f>
        <v>- - -</v>
      </c>
      <c r="CK83" s="55" t="str">
        <f t="shared" ref="CK83:CK92" si="180">IF(CM83&gt;2000,"NN","- - -")</f>
        <v>NN</v>
      </c>
      <c r="CL83" s="65">
        <v>1</v>
      </c>
      <c r="CM83" s="66">
        <v>2013</v>
      </c>
      <c r="CN83" s="65"/>
      <c r="CO83" s="84"/>
      <c r="CP83" s="55" t="str">
        <f t="shared" ref="CP83:CP92" si="181">IF(CR83&gt;2000,"CN","- - -")</f>
        <v>- - -</v>
      </c>
      <c r="CQ83" s="65"/>
      <c r="CR83" s="66"/>
      <c r="CS83" s="65"/>
      <c r="CT83" s="84"/>
      <c r="CU83" s="69" t="str">
        <f t="shared" ref="CU83:CU92" si="182">IF(AND(CV83="Hưu",AB83&lt;(AD83-1),DC83&gt;0,DC83&lt;18,OR(BG83&lt;4,AND(BG83&gt;3,OR(BZ83&lt;3,BZ83&gt;5)))),"Lg Sớm",IF(AND(CV83="Hưu",AB83&gt;(AD83-2),OR(BE83=0.33,BE83=0.34),OR(BG83&lt;4,AND(BG83&gt;3,OR(BZ83&lt;3,BZ83&gt;5)))),"Nâng Ngạch",IF(AND(CV83="Hưu",BB83=1,DC83&gt;2,DC83&lt;6,OR(BG83&lt;4,AND(BG83&gt;3,OR(BZ83&lt;3,BZ83&gt;5)))),"Nâng PcVK cùng QĐ",IF(AND(CV83="Hưu",BG83&gt;3,BZ83&gt;2,BZ83&lt;6,AB83&lt;(AD83-1),DC83&gt;17,OR(BB83&gt;1,AND(BB83=1,OR(DC83&lt;3,DC83&gt;5)))),"Nâng PcNG cùng QĐ",IF(AND(CV83="Hưu",AB83&lt;(AD83-1),DC83&gt;0,DC83&lt;18,BG83&gt;3,BZ83&gt;2,BZ83&lt;6),"Nâng Lg Sớm +(PcNG cùng QĐ)",IF(AND(CV83="Hưu",AB83&gt;(AD83-2),OR(BE83=0.33,BE83=0.34),BG83&gt;3,BZ83&gt;2,BZ83&lt;6),"Nâng Ngạch +(PcNG cùng QĐ)",IF(AND(CV83="Hưu",BB83=1,DC83&gt;2,DC83&lt;6,BG83&gt;3,BZ83&gt;2,BZ83&lt;6),"Nâng (PcVK +PcNG) cùng QĐ",("---"))))))))</f>
        <v>---</v>
      </c>
      <c r="CV83" s="70" t="str">
        <f t="shared" ref="CV83:CV92" si="183">IF(AND(DG83&gt;DF83,DG83&lt;(DF83+13)),"Hưu",IF(AND(DG83&gt;(DF83+12),DG83&lt;1000),"Quá","/-/ /-/"))</f>
        <v>/-/ /-/</v>
      </c>
      <c r="CW83" s="67">
        <f t="shared" ref="CW83:CW92" si="184">IF((I83+0)&lt;12,(I83+0)+1,IF((I83+0)=12,1,IF((I83+0)&gt;12,(I83+0)-12)))</f>
        <v>10</v>
      </c>
      <c r="CX83" s="68">
        <f t="shared" ref="CX83:CX92" si="185">IF(OR((I83+0)=12,(I83+0)&gt;12),K83+DF83/12+1,IF(AND((I83+0)&gt;0,(I83+0)&lt;12),K83+DF83/12,"---"))</f>
        <v>2024</v>
      </c>
      <c r="CY83" s="67">
        <f t="shared" ref="CY83:CY92" si="186">IF(AND(CW83&gt;3,CW83&lt;13),CW83-3,IF(CW83&lt;4,CW83-3+12))</f>
        <v>7</v>
      </c>
      <c r="CZ83" s="68">
        <f t="shared" ref="CZ83:CZ92" si="187">IF(CY83&lt;CW83,CX83,IF(CY83&gt;CW83,CX83-1))</f>
        <v>2024</v>
      </c>
      <c r="DA83" s="67">
        <f t="shared" ref="DA83:DA92" si="188">IF(CW83&gt;6,CW83-6,IF(CW83=6,12,IF(CW83&lt;6,CW83+6)))</f>
        <v>4</v>
      </c>
      <c r="DB83" s="68">
        <f t="shared" ref="DB83:DB92" si="189">IF(CW83&gt;6,CX83,IF(CW83&lt;7,CX83-1))</f>
        <v>2024</v>
      </c>
      <c r="DC83" s="71" t="str">
        <f t="shared" ref="DC83:DC92" si="190">IF(AND(CV83="Hưu",BB83=3),36+AM83-(12*(DB83-AX83)+(DA83-AV83)),IF(AND(CV83="Hưu",BB83=2),24+AM83-(12*(DB83-AX83)+(DA83-AV83)),IF(AND(CV83="Hưu",BB83=1),12+AM83-(12*(DB83-AX83)+(DA83-AV83)),"- - -")))</f>
        <v>- - -</v>
      </c>
      <c r="DD83" s="72" t="str">
        <f t="shared" ref="DD83:DD92" si="191">IF(DE83&gt;0,"K.Dài",". .")</f>
        <v>. .</v>
      </c>
      <c r="DE83" s="72"/>
      <c r="DF83" s="52">
        <f t="shared" ref="DF83:DF92" si="192">IF(F83="Nam",(60+DE83)*12,IF(F83="Nữ",(55+DE83)*12,))</f>
        <v>720</v>
      </c>
      <c r="DG83" s="52">
        <f t="shared" ref="DG83:DG92" si="193">12*($CV$4-K83)+(12-I83)</f>
        <v>-23565</v>
      </c>
      <c r="DH83" s="52">
        <f t="shared" ref="DH83:DH92" si="194">$DL$4-K83</f>
        <v>-1964</v>
      </c>
      <c r="DI83" s="52" t="str">
        <f t="shared" ref="DI83:DI92" si="195">IF(AND(DH83&lt;35,F83="Nam"),"Nam dưới 35",IF(AND(DH83&lt;30,F83="Nữ"),"Nữ dưới 30",IF(AND(DH83&gt;34,DH83&lt;46,F83="Nam"),"Nam từ 35 - 45",IF(AND(DH83&gt;29,DH83&lt;41,F83="Nữ"),"Nữ từ 30 - 40",IF(AND(DH83&gt;45,DH83&lt;56,F83="Nam"),"Nam trên 45 - 55",IF(AND(DH83&gt;40,DH83&lt;51,F83="Nữ"),"Nữ trên 40 - 50",IF(AND(DH83&gt;55,F83="Nam"),"Nam trên 55","Nữ trên 50")))))))</f>
        <v>Nam dưới 35</v>
      </c>
      <c r="DJ83" s="52"/>
      <c r="DK83" s="52"/>
      <c r="DL83" s="57" t="str">
        <f t="shared" ref="DL83:DL92" si="196">IF(DH83&lt;31,"Đến 30",IF(AND(DH83&gt;30,DH83&lt;46),"31 - 45",IF(AND(DH83&gt;45,DH83&lt;70),"Trên 45")))</f>
        <v>Đến 30</v>
      </c>
      <c r="DM83" s="65" t="str">
        <f t="shared" ref="DM83:DM92" si="197">IF(DN83&gt;0,"TD","--")</f>
        <v>--</v>
      </c>
      <c r="DN83" s="36"/>
      <c r="DO83" s="95"/>
      <c r="DP83" s="56"/>
      <c r="DQ83" s="84"/>
      <c r="DR83" s="36"/>
      <c r="DS83" s="74"/>
      <c r="DT83" s="40"/>
      <c r="DU83" s="76"/>
      <c r="DV83" s="91"/>
      <c r="DW83" s="37" t="s">
        <v>76</v>
      </c>
      <c r="DX83" s="391" t="s">
        <v>125</v>
      </c>
      <c r="DY83" s="37" t="s">
        <v>76</v>
      </c>
      <c r="DZ83" s="48" t="s">
        <v>342</v>
      </c>
      <c r="EA83" s="49" t="s">
        <v>360</v>
      </c>
      <c r="EB83" s="49" t="s">
        <v>342</v>
      </c>
      <c r="EC83" s="49" t="s">
        <v>360</v>
      </c>
      <c r="ED83" s="77">
        <v>2013</v>
      </c>
      <c r="EE83" s="49">
        <f t="shared" ref="EE83:EE92" si="198">(DZ83+0)-(EG83+0)</f>
        <v>0</v>
      </c>
      <c r="EF83" s="78" t="str">
        <f t="shared" ref="EF83:EF92" si="199">IF(EE83&gt;0,"Sửa","- - -")</f>
        <v>- - -</v>
      </c>
      <c r="EG83" s="48" t="s">
        <v>342</v>
      </c>
      <c r="EH83" s="49" t="s">
        <v>360</v>
      </c>
      <c r="EI83" s="49" t="s">
        <v>342</v>
      </c>
      <c r="EJ83" s="49" t="s">
        <v>360</v>
      </c>
      <c r="EK83" s="77">
        <v>2013</v>
      </c>
      <c r="EL83" s="64" t="s">
        <v>146</v>
      </c>
      <c r="EM83" s="55" t="str">
        <f t="shared" ref="EM83:EM87" si="200">IF(AND(BE83&gt;0.34,AO83=1,OR(BD83=6.2,BD83=5.75)),((BD83-EL83)-2*0.34),IF(AND(BE83&gt;0.33,AO83=1,OR(BD83=4.4,BD83=4)),((BD83-EL83)-2*0.33),"- - -"))</f>
        <v>- - -</v>
      </c>
      <c r="EN83" s="79" t="str">
        <f t="shared" ref="EN83:EN92" si="201">IF(CV83="Hưu",12*(DB83-AX83)+(DA83-AV83),"---")</f>
        <v>---</v>
      </c>
      <c r="EO83" s="91"/>
      <c r="EP83" s="80"/>
      <c r="EQ83" s="8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  <c r="FC83" s="80"/>
      <c r="FD83" s="80"/>
      <c r="FE83" s="80"/>
      <c r="FF83" s="80"/>
      <c r="FG83" s="80"/>
      <c r="FH83" s="80"/>
      <c r="FI83" s="80"/>
      <c r="FJ83" s="80"/>
      <c r="FK83" s="80"/>
      <c r="FL83" s="80"/>
      <c r="FM83" s="80"/>
      <c r="FN83" s="80"/>
      <c r="FO83" s="80"/>
      <c r="FP83" s="80"/>
      <c r="FQ83" s="80"/>
      <c r="FR83" s="80"/>
    </row>
    <row r="84" spans="1:174" s="319" customFormat="1" ht="11.25" customHeight="1" x14ac:dyDescent="0.25">
      <c r="A84" s="101">
        <v>624</v>
      </c>
      <c r="B84" s="371">
        <v>20</v>
      </c>
      <c r="C84" s="35"/>
      <c r="D84" s="649" t="str">
        <f t="shared" si="156"/>
        <v>Bà</v>
      </c>
      <c r="E84" s="650" t="s">
        <v>18</v>
      </c>
      <c r="F84" s="649" t="s">
        <v>381</v>
      </c>
      <c r="G84" s="635" t="s">
        <v>350</v>
      </c>
      <c r="H84" s="247" t="s">
        <v>360</v>
      </c>
      <c r="I84" s="635" t="s">
        <v>373</v>
      </c>
      <c r="J84" s="247" t="s">
        <v>360</v>
      </c>
      <c r="K84" s="650">
        <v>1991</v>
      </c>
      <c r="L84" s="193" t="s">
        <v>452</v>
      </c>
      <c r="M84" s="652" t="str">
        <f t="shared" si="157"/>
        <v>VC</v>
      </c>
      <c r="N84" s="199"/>
      <c r="O84" s="621" t="e">
        <f t="shared" si="158"/>
        <v>#N/A</v>
      </c>
      <c r="P84" s="650"/>
      <c r="Q84" s="371" t="e">
        <f>VLOOKUP(P84,'[1]- DLiêu Gốc (Không sửa)'!$C$2:$H$116,2,0)</f>
        <v>#N/A</v>
      </c>
      <c r="R84" s="40" t="s">
        <v>619</v>
      </c>
      <c r="S84" s="641" t="s">
        <v>561</v>
      </c>
      <c r="T84" s="186" t="str">
        <f>VLOOKUP(Y84,'Du lieu lien quan'!$C$2:$H$60,5,0)</f>
        <v>A1</v>
      </c>
      <c r="U84" s="187" t="str">
        <f>VLOOKUP(Y84,'Du lieu lien quan'!$C$2:$H$60,6,0)</f>
        <v>- - -</v>
      </c>
      <c r="V84" s="663" t="s">
        <v>425</v>
      </c>
      <c r="W84" s="370" t="str">
        <f t="shared" si="159"/>
        <v>Chuyên viên</v>
      </c>
      <c r="X84" s="663" t="str">
        <f t="shared" si="160"/>
        <v>01.003</v>
      </c>
      <c r="Y84" s="397" t="s">
        <v>340</v>
      </c>
      <c r="Z84" s="397" t="str">
        <f>VLOOKUP(Y84,'Du lieu lien quan'!$C$1:$H$133,2,0)</f>
        <v>01.003</v>
      </c>
      <c r="AA84" s="52" t="str">
        <f t="shared" si="161"/>
        <v>Lương</v>
      </c>
      <c r="AB84" s="188">
        <v>2</v>
      </c>
      <c r="AC84" s="495" t="str">
        <f t="shared" si="162"/>
        <v>/</v>
      </c>
      <c r="AD84" s="189">
        <f t="shared" si="163"/>
        <v>9</v>
      </c>
      <c r="AE84" s="653">
        <f t="shared" si="164"/>
        <v>2.67</v>
      </c>
      <c r="AF84" s="410"/>
      <c r="AG84" s="410"/>
      <c r="AH84" s="654" t="s">
        <v>342</v>
      </c>
      <c r="AI84" s="493"/>
      <c r="AJ84" s="655" t="s">
        <v>342</v>
      </c>
      <c r="AK84" s="493" t="s">
        <v>360</v>
      </c>
      <c r="AL84" s="681">
        <v>2019</v>
      </c>
      <c r="AM84" s="657"/>
      <c r="AN84" s="195"/>
      <c r="AO84" s="190">
        <f t="shared" si="165"/>
        <v>3</v>
      </c>
      <c r="AP84" s="498" t="str">
        <f t="shared" si="166"/>
        <v>/</v>
      </c>
      <c r="AQ84" s="192">
        <f t="shared" si="167"/>
        <v>9</v>
      </c>
      <c r="AR84" s="193">
        <f t="shared" si="168"/>
        <v>3</v>
      </c>
      <c r="AS84" s="415"/>
      <c r="AT84" s="654" t="s">
        <v>342</v>
      </c>
      <c r="AU84" s="687"/>
      <c r="AV84" s="655" t="s">
        <v>342</v>
      </c>
      <c r="AW84" s="687" t="s">
        <v>360</v>
      </c>
      <c r="AX84" s="50">
        <v>2022</v>
      </c>
      <c r="AY84" s="2150"/>
      <c r="AZ84" s="2148" t="s">
        <v>636</v>
      </c>
      <c r="BA84" s="479"/>
      <c r="BB84" s="656">
        <f t="shared" si="169"/>
        <v>3</v>
      </c>
      <c r="BC84" s="328">
        <f t="shared" si="170"/>
        <v>-24265</v>
      </c>
      <c r="BD84" s="280">
        <f>VLOOKUP(Y84,'Du lieu lien quan'!$C$1:$F$60,3,0)</f>
        <v>2.34</v>
      </c>
      <c r="BE84" s="280">
        <f>VLOOKUP(Y84,'Du lieu lien quan'!$C$1:$F$60,4,0)</f>
        <v>0.33</v>
      </c>
      <c r="BF84" s="658" t="str">
        <f t="shared" si="171"/>
        <v>o-o-o</v>
      </c>
      <c r="BG84" s="659"/>
      <c r="BH84" s="686"/>
      <c r="BI84" s="423"/>
      <c r="BJ84" s="489"/>
      <c r="BK84" s="416"/>
      <c r="BL84" s="489"/>
      <c r="BM84" s="103"/>
      <c r="BN84" s="657"/>
      <c r="BO84" s="1280"/>
      <c r="BP84" s="660"/>
      <c r="BQ84" s="430"/>
      <c r="BR84" s="60"/>
      <c r="BS84" s="687"/>
      <c r="BT84" s="418"/>
      <c r="BU84" s="687"/>
      <c r="BV84" s="681"/>
      <c r="BW84" s="683"/>
      <c r="BX84" s="664"/>
      <c r="BY84" s="329" t="str">
        <f t="shared" si="172"/>
        <v>- - -</v>
      </c>
      <c r="BZ84" s="658" t="str">
        <f>IF(BH84&gt;3,(($BG$2-BW84)*12+($BG$4-BU84)-BO84),"- - -")</f>
        <v>- - -</v>
      </c>
      <c r="CA84" s="392" t="str">
        <f t="shared" si="174"/>
        <v>Chánh Văn phòng Học viện, Trưởng Ban Tổ chức - Cán bộ, Trưởng Phân viện Học viện Hành chính Quốc gia khu vực Tây Nguyên</v>
      </c>
      <c r="CB84" s="661" t="str">
        <f t="shared" si="175"/>
        <v>A</v>
      </c>
      <c r="CC84" s="662" t="str">
        <f t="shared" si="176"/>
        <v>=&gt; s</v>
      </c>
      <c r="CD84" s="652">
        <f t="shared" si="177"/>
        <v>24289</v>
      </c>
      <c r="CE84" s="649" t="str">
        <f t="shared" si="178"/>
        <v>---</v>
      </c>
      <c r="CF84" s="649"/>
      <c r="CG84" s="381"/>
      <c r="CH84" s="649"/>
      <c r="CI84" s="649"/>
      <c r="CJ84" s="649" t="str">
        <f t="shared" si="179"/>
        <v>- - -</v>
      </c>
      <c r="CK84" s="664" t="str">
        <f t="shared" si="180"/>
        <v>- - -</v>
      </c>
      <c r="CL84" s="665"/>
      <c r="CM84" s="666"/>
      <c r="CN84" s="665"/>
      <c r="CO84" s="667"/>
      <c r="CP84" s="664" t="str">
        <f t="shared" si="181"/>
        <v>- - -</v>
      </c>
      <c r="CQ84" s="665"/>
      <c r="CR84" s="666"/>
      <c r="CS84" s="665"/>
      <c r="CT84" s="667"/>
      <c r="CU84" s="668" t="str">
        <f t="shared" si="182"/>
        <v>---</v>
      </c>
      <c r="CV84" s="684" t="str">
        <f t="shared" si="183"/>
        <v>/-/ /-/</v>
      </c>
      <c r="CW84" s="669">
        <f t="shared" si="184"/>
        <v>12</v>
      </c>
      <c r="CX84" s="670">
        <f t="shared" si="185"/>
        <v>2046</v>
      </c>
      <c r="CY84" s="669">
        <f t="shared" si="186"/>
        <v>9</v>
      </c>
      <c r="CZ84" s="670">
        <f t="shared" si="187"/>
        <v>2046</v>
      </c>
      <c r="DA84" s="669">
        <f t="shared" si="188"/>
        <v>6</v>
      </c>
      <c r="DB84" s="670">
        <f t="shared" si="189"/>
        <v>2046</v>
      </c>
      <c r="DC84" s="671" t="str">
        <f t="shared" si="190"/>
        <v>- - -</v>
      </c>
      <c r="DD84" s="672" t="str">
        <f t="shared" si="191"/>
        <v>. .</v>
      </c>
      <c r="DE84" s="672"/>
      <c r="DF84" s="652">
        <f t="shared" si="192"/>
        <v>660</v>
      </c>
      <c r="DG84" s="652">
        <f t="shared" si="193"/>
        <v>-23891</v>
      </c>
      <c r="DH84" s="652">
        <f t="shared" si="194"/>
        <v>-1991</v>
      </c>
      <c r="DI84" s="652" t="str">
        <f t="shared" si="195"/>
        <v>Nữ dưới 30</v>
      </c>
      <c r="DJ84" s="652"/>
      <c r="DK84" s="652"/>
      <c r="DL84" s="658" t="str">
        <f t="shared" si="196"/>
        <v>Đến 30</v>
      </c>
      <c r="DM84" s="665" t="str">
        <f t="shared" si="197"/>
        <v>--</v>
      </c>
      <c r="DN84" s="651"/>
      <c r="DO84" s="649"/>
      <c r="DP84" s="196"/>
      <c r="DQ84" s="667"/>
      <c r="DR84" s="667"/>
      <c r="DS84" s="673"/>
      <c r="DT84" s="674"/>
      <c r="DU84" s="675"/>
      <c r="DV84" s="676"/>
      <c r="DW84" s="201" t="s">
        <v>78</v>
      </c>
      <c r="DX84" s="391" t="s">
        <v>150</v>
      </c>
      <c r="DY84" s="201" t="s">
        <v>78</v>
      </c>
      <c r="DZ84" s="654" t="s">
        <v>273</v>
      </c>
      <c r="EA84" s="655" t="s">
        <v>360</v>
      </c>
      <c r="EB84" s="655" t="s">
        <v>346</v>
      </c>
      <c r="EC84" s="655" t="s">
        <v>360</v>
      </c>
      <c r="ED84" s="677">
        <v>2014</v>
      </c>
      <c r="EE84" s="655">
        <f t="shared" si="198"/>
        <v>15</v>
      </c>
      <c r="EF84" s="678" t="str">
        <f t="shared" si="199"/>
        <v>Sửa</v>
      </c>
      <c r="EG84" s="654" t="s">
        <v>342</v>
      </c>
      <c r="EH84" s="655" t="s">
        <v>360</v>
      </c>
      <c r="EI84" s="2149" t="s">
        <v>349</v>
      </c>
      <c r="EJ84" s="655" t="s">
        <v>360</v>
      </c>
      <c r="EK84" s="677">
        <v>2014</v>
      </c>
      <c r="EL84" s="649"/>
      <c r="EM84" s="664" t="str">
        <f t="shared" si="200"/>
        <v>- - -</v>
      </c>
      <c r="EN84" s="679" t="str">
        <f t="shared" si="201"/>
        <v>---</v>
      </c>
      <c r="EO84" s="676"/>
      <c r="EP84" s="680"/>
      <c r="EQ84" s="680"/>
      <c r="ER84" s="680"/>
      <c r="ES84" s="680"/>
      <c r="ET84" s="680"/>
      <c r="EU84" s="680"/>
      <c r="EV84" s="680"/>
      <c r="EW84" s="680"/>
      <c r="EX84" s="680"/>
      <c r="EY84" s="680"/>
      <c r="EZ84" s="680"/>
      <c r="FA84" s="680"/>
      <c r="FB84" s="680"/>
      <c r="FC84" s="680"/>
      <c r="FD84" s="680"/>
      <c r="FE84" s="680"/>
      <c r="FF84" s="680"/>
      <c r="FG84" s="680"/>
      <c r="FH84" s="680"/>
      <c r="FI84" s="680"/>
      <c r="FJ84" s="680"/>
      <c r="FK84" s="680"/>
      <c r="FL84" s="680"/>
      <c r="FM84" s="80"/>
      <c r="FN84" s="80"/>
      <c r="FO84" s="80"/>
      <c r="FP84" s="80"/>
      <c r="FQ84" s="80"/>
      <c r="FR84" s="80"/>
    </row>
    <row r="85" spans="1:174" s="253" customFormat="1" ht="11.25" customHeight="1" x14ac:dyDescent="0.2">
      <c r="A85" s="101">
        <v>634</v>
      </c>
      <c r="B85" s="517">
        <v>21</v>
      </c>
      <c r="C85" s="35"/>
      <c r="D85" s="649" t="str">
        <f t="shared" si="156"/>
        <v>Bà</v>
      </c>
      <c r="E85" s="650" t="s">
        <v>454</v>
      </c>
      <c r="F85" s="649" t="s">
        <v>381</v>
      </c>
      <c r="G85" s="635" t="s">
        <v>383</v>
      </c>
      <c r="H85" s="247" t="s">
        <v>360</v>
      </c>
      <c r="I85" s="635" t="s">
        <v>350</v>
      </c>
      <c r="J85" s="247" t="s">
        <v>360</v>
      </c>
      <c r="K85" s="650">
        <v>1991</v>
      </c>
      <c r="L85" s="193" t="s">
        <v>452</v>
      </c>
      <c r="M85" s="652" t="str">
        <f t="shared" si="157"/>
        <v>VC</v>
      </c>
      <c r="N85" s="199"/>
      <c r="O85" s="621" t="e">
        <f t="shared" si="158"/>
        <v>#N/A</v>
      </c>
      <c r="P85" s="650"/>
      <c r="Q85" s="371" t="e">
        <f>VLOOKUP(P85,'[1]- DLiêu Gốc (Không sửa)'!$C$2:$H$116,2,0)</f>
        <v>#N/A</v>
      </c>
      <c r="R85" s="650" t="s">
        <v>637</v>
      </c>
      <c r="S85" s="641" t="s">
        <v>561</v>
      </c>
      <c r="T85" s="186" t="str">
        <f>VLOOKUP(Y85,'Du lieu lien quan'!$C$2:$H$60,5,0)</f>
        <v>A1</v>
      </c>
      <c r="U85" s="187" t="str">
        <f>VLOOKUP(Y85,'Du lieu lien quan'!$C$2:$H$60,6,0)</f>
        <v>- - -</v>
      </c>
      <c r="V85" s="663" t="s">
        <v>425</v>
      </c>
      <c r="W85" s="370" t="str">
        <f t="shared" si="159"/>
        <v>Chuyên viên</v>
      </c>
      <c r="X85" s="663" t="str">
        <f t="shared" si="160"/>
        <v>01.003</v>
      </c>
      <c r="Y85" s="397" t="s">
        <v>340</v>
      </c>
      <c r="Z85" s="397" t="str">
        <f>VLOOKUP(Y85,'Du lieu lien quan'!$C$1:$H$133,2,0)</f>
        <v>01.003</v>
      </c>
      <c r="AA85" s="52" t="str">
        <f t="shared" si="161"/>
        <v>Lương</v>
      </c>
      <c r="AB85" s="188">
        <v>2</v>
      </c>
      <c r="AC85" s="495" t="str">
        <f t="shared" si="162"/>
        <v>/</v>
      </c>
      <c r="AD85" s="189">
        <f t="shared" si="163"/>
        <v>9</v>
      </c>
      <c r="AE85" s="653">
        <f t="shared" si="164"/>
        <v>2.67</v>
      </c>
      <c r="AF85" s="410"/>
      <c r="AG85" s="410"/>
      <c r="AH85" s="654" t="s">
        <v>342</v>
      </c>
      <c r="AI85" s="493" t="s">
        <v>360</v>
      </c>
      <c r="AJ85" s="655" t="s">
        <v>342</v>
      </c>
      <c r="AK85" s="493" t="s">
        <v>360</v>
      </c>
      <c r="AL85" s="681">
        <v>2019</v>
      </c>
      <c r="AM85" s="657"/>
      <c r="AN85" s="195"/>
      <c r="AO85" s="2153">
        <f t="shared" si="165"/>
        <v>3</v>
      </c>
      <c r="AP85" s="498" t="str">
        <f t="shared" si="166"/>
        <v>/</v>
      </c>
      <c r="AQ85" s="192">
        <f t="shared" si="167"/>
        <v>9</v>
      </c>
      <c r="AR85" s="193">
        <f t="shared" si="168"/>
        <v>3</v>
      </c>
      <c r="AS85" s="415"/>
      <c r="AT85" s="654" t="s">
        <v>342</v>
      </c>
      <c r="AU85" s="687" t="s">
        <v>360</v>
      </c>
      <c r="AV85" s="655" t="s">
        <v>342</v>
      </c>
      <c r="AW85" s="687" t="s">
        <v>360</v>
      </c>
      <c r="AX85" s="50">
        <v>2022</v>
      </c>
      <c r="AY85" s="2150"/>
      <c r="AZ85" s="472" t="s">
        <v>613</v>
      </c>
      <c r="BA85" s="479"/>
      <c r="BB85" s="656">
        <f t="shared" si="169"/>
        <v>3</v>
      </c>
      <c r="BC85" s="328">
        <f t="shared" si="170"/>
        <v>-24265</v>
      </c>
      <c r="BD85" s="280">
        <f>VLOOKUP(Y85,'Du lieu lien quan'!$C$1:$F$60,3,0)</f>
        <v>2.34</v>
      </c>
      <c r="BE85" s="280">
        <f>VLOOKUP(Y85,'Du lieu lien quan'!$C$1:$F$60,4,0)</f>
        <v>0.33</v>
      </c>
      <c r="BF85" s="658" t="str">
        <f t="shared" si="171"/>
        <v>o-o-o</v>
      </c>
      <c r="BG85" s="659"/>
      <c r="BH85" s="686"/>
      <c r="BI85" s="423"/>
      <c r="BJ85" s="489"/>
      <c r="BK85" s="416"/>
      <c r="BL85" s="489"/>
      <c r="BM85" s="103"/>
      <c r="BN85" s="657"/>
      <c r="BO85" s="198"/>
      <c r="BP85" s="660"/>
      <c r="BQ85" s="430"/>
      <c r="BR85" s="60"/>
      <c r="BS85" s="687"/>
      <c r="BT85" s="418"/>
      <c r="BU85" s="687"/>
      <c r="BV85" s="681"/>
      <c r="BW85" s="197"/>
      <c r="BX85" s="194"/>
      <c r="BY85" s="329" t="str">
        <f t="shared" si="172"/>
        <v>- - -</v>
      </c>
      <c r="BZ85" s="658" t="str">
        <f>IF(BH85&gt;3,(($BG$2-BW85)*12+($BG$4-BU85)-BO85),"- - -")</f>
        <v>- - -</v>
      </c>
      <c r="CA85" s="392" t="str">
        <f t="shared" si="174"/>
        <v>Chánh Văn phòng Học viện, Trưởng Ban Tổ chức - Cán bộ, Trưởng Phân viện Học viện Hành chính Quốc gia khu vực Tây Nguyên</v>
      </c>
      <c r="CB85" s="661" t="str">
        <f t="shared" si="175"/>
        <v>A</v>
      </c>
      <c r="CC85" s="662" t="str">
        <f t="shared" si="176"/>
        <v>=&gt; s</v>
      </c>
      <c r="CD85" s="652">
        <f t="shared" si="177"/>
        <v>24289</v>
      </c>
      <c r="CE85" s="649" t="str">
        <f t="shared" si="178"/>
        <v>---</v>
      </c>
      <c r="CF85" s="649"/>
      <c r="CG85" s="381"/>
      <c r="CH85" s="649"/>
      <c r="CI85" s="649"/>
      <c r="CJ85" s="649" t="str">
        <f t="shared" si="179"/>
        <v>- - -</v>
      </c>
      <c r="CK85" s="664" t="str">
        <f t="shared" si="180"/>
        <v>- - -</v>
      </c>
      <c r="CL85" s="665"/>
      <c r="CM85" s="666"/>
      <c r="CN85" s="665"/>
      <c r="CO85" s="667"/>
      <c r="CP85" s="664" t="str">
        <f t="shared" si="181"/>
        <v>CN</v>
      </c>
      <c r="CQ85" s="665">
        <v>6</v>
      </c>
      <c r="CR85" s="666">
        <v>2013</v>
      </c>
      <c r="CS85" s="665"/>
      <c r="CT85" s="667"/>
      <c r="CU85" s="668" t="str">
        <f t="shared" si="182"/>
        <v>---</v>
      </c>
      <c r="CV85" s="200" t="str">
        <f t="shared" si="183"/>
        <v>/-/ /-/</v>
      </c>
      <c r="CW85" s="669">
        <f t="shared" si="184"/>
        <v>1</v>
      </c>
      <c r="CX85" s="670">
        <f t="shared" si="185"/>
        <v>2047</v>
      </c>
      <c r="CY85" s="669">
        <f t="shared" si="186"/>
        <v>10</v>
      </c>
      <c r="CZ85" s="670">
        <f t="shared" si="187"/>
        <v>2046</v>
      </c>
      <c r="DA85" s="669">
        <f t="shared" si="188"/>
        <v>7</v>
      </c>
      <c r="DB85" s="670">
        <f t="shared" si="189"/>
        <v>2046</v>
      </c>
      <c r="DC85" s="671" t="str">
        <f t="shared" si="190"/>
        <v>- - -</v>
      </c>
      <c r="DD85" s="672" t="str">
        <f t="shared" si="191"/>
        <v>. .</v>
      </c>
      <c r="DE85" s="672"/>
      <c r="DF85" s="652">
        <f t="shared" si="192"/>
        <v>660</v>
      </c>
      <c r="DG85" s="652">
        <f t="shared" si="193"/>
        <v>-23892</v>
      </c>
      <c r="DH85" s="652">
        <f t="shared" si="194"/>
        <v>-1991</v>
      </c>
      <c r="DI85" s="652" t="str">
        <f t="shared" si="195"/>
        <v>Nữ dưới 30</v>
      </c>
      <c r="DJ85" s="652"/>
      <c r="DK85" s="652"/>
      <c r="DL85" s="658" t="str">
        <f t="shared" si="196"/>
        <v>Đến 30</v>
      </c>
      <c r="DM85" s="665" t="str">
        <f t="shared" si="197"/>
        <v>--</v>
      </c>
      <c r="DN85" s="651"/>
      <c r="DO85" s="649" t="s">
        <v>271</v>
      </c>
      <c r="DP85" s="682">
        <v>6</v>
      </c>
      <c r="DQ85" s="651">
        <v>2013</v>
      </c>
      <c r="DR85" s="667"/>
      <c r="DS85" s="673"/>
      <c r="DT85" s="674"/>
      <c r="DU85" s="675"/>
      <c r="DV85" s="676"/>
      <c r="DW85" s="201" t="s">
        <v>7</v>
      </c>
      <c r="DX85" s="391" t="s">
        <v>150</v>
      </c>
      <c r="DY85" s="201" t="s">
        <v>240</v>
      </c>
      <c r="DZ85" s="654" t="s">
        <v>342</v>
      </c>
      <c r="EA85" s="655" t="s">
        <v>360</v>
      </c>
      <c r="EB85" s="655" t="s">
        <v>373</v>
      </c>
      <c r="EC85" s="655" t="s">
        <v>360</v>
      </c>
      <c r="ED85" s="677" t="s">
        <v>378</v>
      </c>
      <c r="EE85" s="655">
        <f t="shared" si="198"/>
        <v>0</v>
      </c>
      <c r="EF85" s="678" t="str">
        <f t="shared" si="199"/>
        <v>- - -</v>
      </c>
      <c r="EG85" s="654" t="s">
        <v>342</v>
      </c>
      <c r="EH85" s="655" t="s">
        <v>360</v>
      </c>
      <c r="EI85" s="655" t="s">
        <v>373</v>
      </c>
      <c r="EJ85" s="655" t="s">
        <v>360</v>
      </c>
      <c r="EK85" s="677" t="s">
        <v>378</v>
      </c>
      <c r="EL85" s="649"/>
      <c r="EM85" s="664" t="str">
        <f t="shared" si="200"/>
        <v>- - -</v>
      </c>
      <c r="EN85" s="679" t="str">
        <f t="shared" si="201"/>
        <v>---</v>
      </c>
      <c r="EO85" s="676"/>
      <c r="EP85" s="680"/>
      <c r="EQ85" s="680"/>
      <c r="ER85" s="680"/>
      <c r="ES85" s="680"/>
      <c r="ET85" s="680"/>
      <c r="EU85" s="680"/>
      <c r="EV85" s="680"/>
      <c r="EW85" s="680"/>
      <c r="EX85" s="680"/>
      <c r="EY85" s="680"/>
      <c r="EZ85" s="680"/>
      <c r="FA85" s="680"/>
      <c r="FB85" s="680"/>
      <c r="FC85" s="680"/>
      <c r="FD85" s="680"/>
      <c r="FE85" s="680"/>
      <c r="FF85" s="680"/>
      <c r="FG85" s="680"/>
      <c r="FH85" s="680"/>
      <c r="FI85" s="680"/>
      <c r="FJ85" s="680"/>
      <c r="FK85" s="680"/>
      <c r="FL85" s="680"/>
      <c r="FM85" s="80"/>
      <c r="FN85" s="238"/>
      <c r="FO85" s="238"/>
      <c r="FP85" s="238"/>
      <c r="FQ85" s="238"/>
      <c r="FR85" s="238"/>
    </row>
    <row r="86" spans="1:174" s="264" customFormat="1" ht="11.25" customHeight="1" x14ac:dyDescent="0.25">
      <c r="A86" s="101">
        <v>724</v>
      </c>
      <c r="B86" s="371">
        <v>22</v>
      </c>
      <c r="C86" s="35"/>
      <c r="D86" s="35" t="str">
        <f t="shared" si="156"/>
        <v>Bà</v>
      </c>
      <c r="E86" s="40" t="s">
        <v>95</v>
      </c>
      <c r="F86" s="35" t="s">
        <v>381</v>
      </c>
      <c r="G86" s="64" t="s">
        <v>383</v>
      </c>
      <c r="H86" s="620" t="s">
        <v>360</v>
      </c>
      <c r="I86" s="64" t="s">
        <v>349</v>
      </c>
      <c r="J86" s="620" t="s">
        <v>360</v>
      </c>
      <c r="K86" s="40" t="s">
        <v>334</v>
      </c>
      <c r="L86" s="193" t="s">
        <v>452</v>
      </c>
      <c r="M86" s="652" t="str">
        <f t="shared" si="157"/>
        <v>VC</v>
      </c>
      <c r="N86" s="199"/>
      <c r="O86" s="621" t="e">
        <f t="shared" si="158"/>
        <v>#N/A</v>
      </c>
      <c r="P86" s="40"/>
      <c r="Q86" s="371" t="e">
        <f>VLOOKUP(P86,'[1]- DLiêu Gốc (Không sửa)'!$C$2:$H$116,2,0)</f>
        <v>#N/A</v>
      </c>
      <c r="R86" s="86" t="s">
        <v>633</v>
      </c>
      <c r="S86" s="646" t="s">
        <v>557</v>
      </c>
      <c r="T86" s="38" t="str">
        <f>VLOOKUP(Y86,'Du lieu lien quan'!$C$2:$H$60,5,0)</f>
        <v>A1</v>
      </c>
      <c r="U86" s="39" t="str">
        <f>VLOOKUP(Y86,'Du lieu lien quan'!$C$2:$H$60,6,0)</f>
        <v>- - -</v>
      </c>
      <c r="V86" s="663" t="s">
        <v>425</v>
      </c>
      <c r="W86" s="370" t="str">
        <f t="shared" si="159"/>
        <v>Chuyên viên</v>
      </c>
      <c r="X86" s="373" t="str">
        <f t="shared" si="160"/>
        <v>01.003</v>
      </c>
      <c r="Y86" s="397" t="s">
        <v>340</v>
      </c>
      <c r="Z86" s="397" t="str">
        <f>VLOOKUP(Y86,'Du lieu lien quan'!$C$1:$H$133,2,0)</f>
        <v>01.003</v>
      </c>
      <c r="AA86" s="52" t="str">
        <f t="shared" si="161"/>
        <v>Lương</v>
      </c>
      <c r="AB86" s="175">
        <v>5</v>
      </c>
      <c r="AC86" s="495" t="str">
        <f t="shared" si="162"/>
        <v>/</v>
      </c>
      <c r="AD86" s="43">
        <f t="shared" si="163"/>
        <v>9</v>
      </c>
      <c r="AE86" s="44">
        <f t="shared" si="164"/>
        <v>3.66</v>
      </c>
      <c r="AF86" s="409"/>
      <c r="AG86" s="409"/>
      <c r="AH86" s="485" t="s">
        <v>342</v>
      </c>
      <c r="AI86" s="493" t="s">
        <v>360</v>
      </c>
      <c r="AJ86" s="109" t="s">
        <v>342</v>
      </c>
      <c r="AK86" s="493" t="s">
        <v>360</v>
      </c>
      <c r="AL86" s="876">
        <v>2019</v>
      </c>
      <c r="AM86" s="162"/>
      <c r="AN86" s="53"/>
      <c r="AO86" s="45">
        <f t="shared" si="165"/>
        <v>6</v>
      </c>
      <c r="AP86" s="490" t="str">
        <f t="shared" si="166"/>
        <v>/</v>
      </c>
      <c r="AQ86" s="87">
        <f t="shared" si="167"/>
        <v>9</v>
      </c>
      <c r="AR86" s="47">
        <f t="shared" si="168"/>
        <v>3.99</v>
      </c>
      <c r="AS86" s="413"/>
      <c r="AT86" s="48" t="s">
        <v>342</v>
      </c>
      <c r="AU86" s="484" t="s">
        <v>360</v>
      </c>
      <c r="AV86" s="49" t="s">
        <v>342</v>
      </c>
      <c r="AW86" s="484" t="s">
        <v>360</v>
      </c>
      <c r="AX86" s="50">
        <v>2022</v>
      </c>
      <c r="AY86" s="91"/>
      <c r="AZ86" s="266" t="s">
        <v>612</v>
      </c>
      <c r="BA86" s="480"/>
      <c r="BB86" s="51">
        <f t="shared" si="169"/>
        <v>3</v>
      </c>
      <c r="BC86" s="328">
        <f t="shared" si="170"/>
        <v>-24265</v>
      </c>
      <c r="BD86" s="280">
        <f>VLOOKUP(Y86,'Du lieu lien quan'!$C$1:$F$60,3,0)</f>
        <v>2.34</v>
      </c>
      <c r="BE86" s="280">
        <f>VLOOKUP(Y86,'Du lieu lien quan'!$C$1:$F$60,4,0)</f>
        <v>0.33</v>
      </c>
      <c r="BF86" s="57" t="str">
        <f t="shared" si="171"/>
        <v>o-o-o</v>
      </c>
      <c r="BG86" s="58"/>
      <c r="BH86" s="424"/>
      <c r="BI86" s="423"/>
      <c r="BJ86" s="489"/>
      <c r="BK86" s="416"/>
      <c r="BL86" s="489"/>
      <c r="BM86" s="103"/>
      <c r="BN86" s="162"/>
      <c r="BO86" s="62"/>
      <c r="BP86" s="59"/>
      <c r="BQ86" s="429"/>
      <c r="BR86" s="60"/>
      <c r="BS86" s="484"/>
      <c r="BT86" s="417"/>
      <c r="BU86" s="484"/>
      <c r="BV86" s="50"/>
      <c r="BW86" s="61"/>
      <c r="BX86" s="161"/>
      <c r="BY86" s="329" t="str">
        <f t="shared" si="172"/>
        <v>- - -</v>
      </c>
      <c r="BZ86" s="57" t="str">
        <f t="shared" ref="BZ86:BZ92" si="202">IF(AND(CV86="Hưu",BG86&gt;3),12-(12*(DB86-BV86)+(DA86-BT86))-BN86,"- - -")</f>
        <v>- - -</v>
      </c>
      <c r="CA86" s="392" t="str">
        <f t="shared" si="174"/>
        <v>Chánh Văn phòng Học viện, Trưởng Ban Tổ chức - Cán bộ, Trưởng Phân viện Học viện Hành chính Quốc gia tại Thành phố Hồ Chí Minh</v>
      </c>
      <c r="CB86" s="63" t="str">
        <f t="shared" si="175"/>
        <v>A</v>
      </c>
      <c r="CC86" s="41" t="str">
        <f t="shared" si="176"/>
        <v>=&gt; s</v>
      </c>
      <c r="CD86" s="52">
        <f t="shared" si="177"/>
        <v>24289</v>
      </c>
      <c r="CE86" s="35" t="str">
        <f t="shared" si="178"/>
        <v>---</v>
      </c>
      <c r="CF86" s="35"/>
      <c r="CG86" s="379"/>
      <c r="CH86" s="35"/>
      <c r="CI86" s="35"/>
      <c r="CJ86" s="35" t="str">
        <f t="shared" si="179"/>
        <v>- - -</v>
      </c>
      <c r="CK86" s="55" t="str">
        <f t="shared" si="180"/>
        <v>- - -</v>
      </c>
      <c r="CL86" s="65"/>
      <c r="CM86" s="66"/>
      <c r="CN86" s="65"/>
      <c r="CO86" s="84"/>
      <c r="CP86" s="55" t="str">
        <f t="shared" si="181"/>
        <v>- - -</v>
      </c>
      <c r="CQ86" s="65"/>
      <c r="CR86" s="66"/>
      <c r="CS86" s="65"/>
      <c r="CT86" s="84"/>
      <c r="CU86" s="69" t="str">
        <f t="shared" si="182"/>
        <v>---</v>
      </c>
      <c r="CV86" s="70" t="str">
        <f t="shared" si="183"/>
        <v>/-/ /-/</v>
      </c>
      <c r="CW86" s="67">
        <f t="shared" si="184"/>
        <v>10</v>
      </c>
      <c r="CX86" s="68">
        <f t="shared" si="185"/>
        <v>2038</v>
      </c>
      <c r="CY86" s="67">
        <f t="shared" si="186"/>
        <v>7</v>
      </c>
      <c r="CZ86" s="68">
        <f t="shared" si="187"/>
        <v>2038</v>
      </c>
      <c r="DA86" s="67">
        <f t="shared" si="188"/>
        <v>4</v>
      </c>
      <c r="DB86" s="68">
        <f t="shared" si="189"/>
        <v>2038</v>
      </c>
      <c r="DC86" s="71" t="str">
        <f t="shared" si="190"/>
        <v>- - -</v>
      </c>
      <c r="DD86" s="72" t="str">
        <f t="shared" si="191"/>
        <v>. .</v>
      </c>
      <c r="DE86" s="72"/>
      <c r="DF86" s="52">
        <f t="shared" si="192"/>
        <v>660</v>
      </c>
      <c r="DG86" s="52">
        <f t="shared" si="193"/>
        <v>-23793</v>
      </c>
      <c r="DH86" s="52">
        <f t="shared" si="194"/>
        <v>-1983</v>
      </c>
      <c r="DI86" s="52" t="str">
        <f t="shared" si="195"/>
        <v>Nữ dưới 30</v>
      </c>
      <c r="DJ86" s="52"/>
      <c r="DK86" s="52"/>
      <c r="DL86" s="57" t="str">
        <f t="shared" si="196"/>
        <v>Đến 30</v>
      </c>
      <c r="DM86" s="65" t="str">
        <f t="shared" si="197"/>
        <v>--</v>
      </c>
      <c r="DN86" s="36"/>
      <c r="DO86" s="89"/>
      <c r="DP86" s="56"/>
      <c r="DQ86" s="84"/>
      <c r="DR86" s="84"/>
      <c r="DS86" s="85"/>
      <c r="DT86" s="86"/>
      <c r="DU86" s="76"/>
      <c r="DV86" s="91"/>
      <c r="DW86" s="92" t="s">
        <v>319</v>
      </c>
      <c r="DX86" s="391" t="s">
        <v>416</v>
      </c>
      <c r="DY86" s="92" t="s">
        <v>319</v>
      </c>
      <c r="DZ86" s="375" t="s">
        <v>342</v>
      </c>
      <c r="EA86" s="49" t="s">
        <v>360</v>
      </c>
      <c r="EB86" s="49" t="s">
        <v>342</v>
      </c>
      <c r="EC86" s="49" t="s">
        <v>360</v>
      </c>
      <c r="ED86" s="77">
        <v>2013</v>
      </c>
      <c r="EE86" s="49">
        <f t="shared" si="198"/>
        <v>0</v>
      </c>
      <c r="EF86" s="78" t="str">
        <f t="shared" si="199"/>
        <v>- - -</v>
      </c>
      <c r="EG86" s="48" t="s">
        <v>342</v>
      </c>
      <c r="EH86" s="49" t="s">
        <v>360</v>
      </c>
      <c r="EI86" s="49" t="s">
        <v>342</v>
      </c>
      <c r="EJ86" s="49" t="s">
        <v>360</v>
      </c>
      <c r="EK86" s="77">
        <v>2013</v>
      </c>
      <c r="EL86" s="35"/>
      <c r="EM86" s="55" t="str">
        <f t="shared" si="200"/>
        <v>- - -</v>
      </c>
      <c r="EN86" s="79" t="str">
        <f t="shared" si="201"/>
        <v>---</v>
      </c>
      <c r="EO86" s="91"/>
      <c r="EP86" s="80"/>
      <c r="EQ86" s="80"/>
      <c r="ER86" s="80"/>
      <c r="ES86" s="80"/>
      <c r="ET86" s="80"/>
      <c r="EU86" s="80"/>
      <c r="EV86" s="80"/>
      <c r="EW86" s="80"/>
      <c r="EX86" s="80"/>
      <c r="EY86" s="80"/>
      <c r="EZ86" s="80"/>
      <c r="FA86" s="80"/>
      <c r="FB86" s="80"/>
      <c r="FC86" s="80"/>
      <c r="FD86" s="80"/>
      <c r="FE86" s="80"/>
      <c r="FF86" s="80"/>
      <c r="FG86" s="80"/>
      <c r="FH86" s="80"/>
      <c r="FI86" s="80"/>
      <c r="FJ86" s="80"/>
      <c r="FK86" s="80"/>
      <c r="FL86" s="80"/>
      <c r="FM86" s="80"/>
      <c r="FN86" s="80"/>
      <c r="FO86" s="80"/>
      <c r="FP86" s="80"/>
      <c r="FQ86" s="80"/>
      <c r="FR86" s="80"/>
    </row>
    <row r="87" spans="1:174" s="528" customFormat="1" ht="11.25" customHeight="1" x14ac:dyDescent="0.2">
      <c r="A87" s="101">
        <v>779</v>
      </c>
      <c r="B87" s="517">
        <v>23</v>
      </c>
      <c r="C87" s="35"/>
      <c r="D87" s="35" t="str">
        <f t="shared" si="156"/>
        <v>Ông</v>
      </c>
      <c r="E87" s="40" t="s">
        <v>290</v>
      </c>
      <c r="F87" s="35" t="s">
        <v>379</v>
      </c>
      <c r="G87" s="64" t="s">
        <v>351</v>
      </c>
      <c r="H87" s="620" t="s">
        <v>360</v>
      </c>
      <c r="I87" s="64" t="s">
        <v>346</v>
      </c>
      <c r="J87" s="620" t="s">
        <v>360</v>
      </c>
      <c r="K87" s="40" t="s">
        <v>338</v>
      </c>
      <c r="L87" s="193" t="s">
        <v>434</v>
      </c>
      <c r="M87" s="652" t="str">
        <f t="shared" si="157"/>
        <v>NLĐ</v>
      </c>
      <c r="N87" s="199"/>
      <c r="O87" s="621" t="e">
        <f t="shared" si="158"/>
        <v>#N/A</v>
      </c>
      <c r="P87" s="40"/>
      <c r="Q87" s="371" t="e">
        <f>VLOOKUP(P87,'[1]- DLiêu Gốc (Không sửa)'!$C$2:$H$116,2,0)</f>
        <v>#N/A</v>
      </c>
      <c r="R87" s="40" t="s">
        <v>370</v>
      </c>
      <c r="S87" s="646" t="s">
        <v>557</v>
      </c>
      <c r="T87" s="38" t="str">
        <f>VLOOKUP(Y87,'Du lieu lien quan'!$C$2:$H$60,5,0)</f>
        <v>C</v>
      </c>
      <c r="U87" s="39" t="str">
        <f>VLOOKUP(Y87,'Du lieu lien quan'!$C$2:$H$60,6,0)</f>
        <v>Nhân viên</v>
      </c>
      <c r="V87" s="663" t="s">
        <v>425</v>
      </c>
      <c r="W87" s="370" t="str">
        <f t="shared" si="159"/>
        <v>Nhân viên</v>
      </c>
      <c r="X87" s="373" t="str">
        <f t="shared" si="160"/>
        <v>01.005</v>
      </c>
      <c r="Y87" s="397" t="s">
        <v>357</v>
      </c>
      <c r="Z87" s="397" t="str">
        <f>VLOOKUP(Y87,'Du lieu lien quan'!$C$1:$H$133,2,0)</f>
        <v>01.011</v>
      </c>
      <c r="AA87" s="52" t="str">
        <f t="shared" si="161"/>
        <v>Lương</v>
      </c>
      <c r="AB87" s="175">
        <v>8</v>
      </c>
      <c r="AC87" s="495" t="str">
        <f t="shared" si="162"/>
        <v>/</v>
      </c>
      <c r="AD87" s="208">
        <f t="shared" si="163"/>
        <v>12</v>
      </c>
      <c r="AE87" s="44">
        <f t="shared" si="164"/>
        <v>2.76</v>
      </c>
      <c r="AF87" s="409"/>
      <c r="AG87" s="409"/>
      <c r="AH87" s="485" t="s">
        <v>342</v>
      </c>
      <c r="AI87" s="493" t="s">
        <v>360</v>
      </c>
      <c r="AJ87" s="109" t="s">
        <v>342</v>
      </c>
      <c r="AK87" s="493" t="s">
        <v>360</v>
      </c>
      <c r="AL87" s="494">
        <v>2020</v>
      </c>
      <c r="AM87" s="162"/>
      <c r="AN87" s="53"/>
      <c r="AO87" s="508">
        <f t="shared" si="165"/>
        <v>9</v>
      </c>
      <c r="AP87" s="47" t="str">
        <f t="shared" si="166"/>
        <v>/</v>
      </c>
      <c r="AQ87" s="624">
        <f t="shared" si="167"/>
        <v>12</v>
      </c>
      <c r="AR87" s="47">
        <f t="shared" si="168"/>
        <v>2.94</v>
      </c>
      <c r="AS87" s="413"/>
      <c r="AT87" s="48" t="s">
        <v>342</v>
      </c>
      <c r="AU87" s="484" t="s">
        <v>360</v>
      </c>
      <c r="AV87" s="49" t="s">
        <v>342</v>
      </c>
      <c r="AW87" s="484" t="s">
        <v>360</v>
      </c>
      <c r="AX87" s="50">
        <v>2022</v>
      </c>
      <c r="AY87" s="91"/>
      <c r="AZ87" s="469"/>
      <c r="BA87" s="480">
        <v>1.18</v>
      </c>
      <c r="BB87" s="51">
        <f t="shared" si="169"/>
        <v>2</v>
      </c>
      <c r="BC87" s="328">
        <f t="shared" si="170"/>
        <v>-24265</v>
      </c>
      <c r="BD87" s="280">
        <f>VLOOKUP(Y87,'Du lieu lien quan'!$C$1:$F$60,3,0)</f>
        <v>1.5</v>
      </c>
      <c r="BE87" s="280">
        <f>VLOOKUP(Y87,'Du lieu lien quan'!$C$1:$F$60,4,0)</f>
        <v>0.18</v>
      </c>
      <c r="BF87" s="57" t="str">
        <f t="shared" si="171"/>
        <v>o-o-o</v>
      </c>
      <c r="BG87" s="58"/>
      <c r="BH87" s="424"/>
      <c r="BI87" s="423"/>
      <c r="BJ87" s="489"/>
      <c r="BK87" s="416"/>
      <c r="BL87" s="489"/>
      <c r="BM87" s="103"/>
      <c r="BN87" s="162"/>
      <c r="BO87" s="62"/>
      <c r="BP87" s="59"/>
      <c r="BQ87" s="429"/>
      <c r="BR87" s="60"/>
      <c r="BS87" s="484"/>
      <c r="BT87" s="417"/>
      <c r="BU87" s="484"/>
      <c r="BV87" s="50"/>
      <c r="BW87" s="61"/>
      <c r="BX87" s="161"/>
      <c r="BY87" s="329" t="str">
        <f t="shared" si="172"/>
        <v>- - -</v>
      </c>
      <c r="BZ87" s="57" t="str">
        <f t="shared" si="202"/>
        <v>- - -</v>
      </c>
      <c r="CA87" s="392" t="str">
        <f t="shared" si="174"/>
        <v>Chánh Văn phòng Học viện, Trưởng Ban Tổ chức - Cán bộ, Trưởng Phân viện Học viện Hành chính Quốc gia tại Thành phố Hồ Chí Minh</v>
      </c>
      <c r="CB87" s="63" t="str">
        <f t="shared" si="175"/>
        <v>A</v>
      </c>
      <c r="CC87" s="41" t="str">
        <f t="shared" si="176"/>
        <v>=&gt; s</v>
      </c>
      <c r="CD87" s="52">
        <f t="shared" si="177"/>
        <v>24277</v>
      </c>
      <c r="CE87" s="35" t="str">
        <f t="shared" si="178"/>
        <v>---</v>
      </c>
      <c r="CF87" s="35"/>
      <c r="CG87" s="379"/>
      <c r="CH87" s="35"/>
      <c r="CI87" s="35"/>
      <c r="CJ87" s="35" t="str">
        <f t="shared" si="179"/>
        <v>- - -</v>
      </c>
      <c r="CK87" s="55" t="str">
        <f t="shared" si="180"/>
        <v>- - -</v>
      </c>
      <c r="CL87" s="65"/>
      <c r="CM87" s="66"/>
      <c r="CN87" s="65"/>
      <c r="CO87" s="84"/>
      <c r="CP87" s="55" t="str">
        <f t="shared" si="181"/>
        <v>- - -</v>
      </c>
      <c r="CQ87" s="65"/>
      <c r="CR87" s="36"/>
      <c r="CS87" s="65"/>
      <c r="CT87" s="84"/>
      <c r="CU87" s="69" t="str">
        <f t="shared" si="182"/>
        <v>---</v>
      </c>
      <c r="CV87" s="70" t="str">
        <f t="shared" si="183"/>
        <v>/-/ /-/</v>
      </c>
      <c r="CW87" s="67">
        <f t="shared" si="184"/>
        <v>9</v>
      </c>
      <c r="CX87" s="68">
        <f t="shared" si="185"/>
        <v>2031</v>
      </c>
      <c r="CY87" s="67">
        <f t="shared" si="186"/>
        <v>6</v>
      </c>
      <c r="CZ87" s="68">
        <f t="shared" si="187"/>
        <v>2031</v>
      </c>
      <c r="DA87" s="67">
        <f t="shared" si="188"/>
        <v>3</v>
      </c>
      <c r="DB87" s="68">
        <f t="shared" si="189"/>
        <v>2031</v>
      </c>
      <c r="DC87" s="71" t="str">
        <f t="shared" si="190"/>
        <v>- - -</v>
      </c>
      <c r="DD87" s="72" t="str">
        <f t="shared" si="191"/>
        <v>. .</v>
      </c>
      <c r="DE87" s="72"/>
      <c r="DF87" s="52">
        <f t="shared" si="192"/>
        <v>720</v>
      </c>
      <c r="DG87" s="52">
        <f t="shared" si="193"/>
        <v>-23648</v>
      </c>
      <c r="DH87" s="52">
        <f t="shared" si="194"/>
        <v>-1971</v>
      </c>
      <c r="DI87" s="52" t="str">
        <f t="shared" si="195"/>
        <v>Nam dưới 35</v>
      </c>
      <c r="DJ87" s="52"/>
      <c r="DK87" s="52"/>
      <c r="DL87" s="57" t="str">
        <f t="shared" si="196"/>
        <v>Đến 30</v>
      </c>
      <c r="DM87" s="65" t="str">
        <f t="shared" si="197"/>
        <v>--</v>
      </c>
      <c r="DN87" s="36"/>
      <c r="DO87" s="35"/>
      <c r="DP87" s="56"/>
      <c r="DQ87" s="84"/>
      <c r="DR87" s="84"/>
      <c r="DS87" s="85"/>
      <c r="DT87" s="86"/>
      <c r="DU87" s="76"/>
      <c r="DV87" s="91"/>
      <c r="DW87" s="37" t="s">
        <v>370</v>
      </c>
      <c r="DX87" s="391" t="s">
        <v>416</v>
      </c>
      <c r="DY87" s="37" t="s">
        <v>368</v>
      </c>
      <c r="DZ87" s="48" t="s">
        <v>342</v>
      </c>
      <c r="EA87" s="49" t="s">
        <v>360</v>
      </c>
      <c r="EB87" s="49" t="s">
        <v>342</v>
      </c>
      <c r="EC87" s="49" t="s">
        <v>360</v>
      </c>
      <c r="ED87" s="77">
        <v>2014</v>
      </c>
      <c r="EE87" s="49">
        <f t="shared" si="198"/>
        <v>0</v>
      </c>
      <c r="EF87" s="78" t="str">
        <f t="shared" si="199"/>
        <v>- - -</v>
      </c>
      <c r="EG87" s="48" t="s">
        <v>342</v>
      </c>
      <c r="EH87" s="49" t="s">
        <v>360</v>
      </c>
      <c r="EI87" s="49" t="s">
        <v>342</v>
      </c>
      <c r="EJ87" s="49" t="s">
        <v>360</v>
      </c>
      <c r="EK87" s="77">
        <v>2014</v>
      </c>
      <c r="EL87" s="35"/>
      <c r="EM87" s="55" t="str">
        <f t="shared" si="200"/>
        <v>- - -</v>
      </c>
      <c r="EN87" s="79" t="str">
        <f t="shared" si="201"/>
        <v>---</v>
      </c>
      <c r="EO87" s="91"/>
      <c r="EP87" s="80"/>
      <c r="EQ87" s="80"/>
      <c r="ER87" s="80"/>
      <c r="ES87" s="80"/>
      <c r="ET87" s="80"/>
      <c r="EU87" s="80"/>
      <c r="EV87" s="80"/>
      <c r="EW87" s="80"/>
      <c r="EX87" s="80"/>
      <c r="EY87" s="80"/>
      <c r="EZ87" s="80"/>
      <c r="FA87" s="80"/>
      <c r="FB87" s="80"/>
      <c r="FC87" s="80"/>
      <c r="FD87" s="80"/>
      <c r="FE87" s="80"/>
      <c r="FF87" s="80"/>
      <c r="FG87" s="80"/>
      <c r="FH87" s="80"/>
      <c r="FI87" s="80"/>
      <c r="FJ87" s="80"/>
      <c r="FK87" s="80"/>
      <c r="FL87" s="80"/>
      <c r="FM87" s="80"/>
      <c r="FN87" s="80"/>
      <c r="FO87" s="80"/>
      <c r="FP87" s="80"/>
      <c r="FQ87" s="80"/>
      <c r="FR87" s="80"/>
    </row>
    <row r="88" spans="1:174" s="244" customFormat="1" ht="11.25" customHeight="1" x14ac:dyDescent="0.25">
      <c r="A88" s="101">
        <v>788</v>
      </c>
      <c r="B88" s="371">
        <v>24</v>
      </c>
      <c r="C88" s="35"/>
      <c r="D88" s="35" t="str">
        <f t="shared" si="156"/>
        <v>Ông</v>
      </c>
      <c r="E88" s="40" t="s">
        <v>96</v>
      </c>
      <c r="F88" s="35" t="s">
        <v>379</v>
      </c>
      <c r="G88" s="64" t="s">
        <v>284</v>
      </c>
      <c r="H88" s="620" t="s">
        <v>360</v>
      </c>
      <c r="I88" s="64" t="s">
        <v>372</v>
      </c>
      <c r="J88" s="620" t="s">
        <v>360</v>
      </c>
      <c r="K88" s="40">
        <v>1961</v>
      </c>
      <c r="L88" s="193" t="s">
        <v>452</v>
      </c>
      <c r="M88" s="652" t="str">
        <f t="shared" si="157"/>
        <v>VC</v>
      </c>
      <c r="N88" s="199"/>
      <c r="O88" s="621" t="e">
        <f t="shared" si="158"/>
        <v>#N/A</v>
      </c>
      <c r="P88" s="40"/>
      <c r="Q88" s="371" t="e">
        <f>VLOOKUP(P88,'[1]- DLiêu Gốc (Không sửa)'!$C$2:$H$116,2,0)</f>
        <v>#N/A</v>
      </c>
      <c r="R88" s="40" t="s">
        <v>370</v>
      </c>
      <c r="S88" s="646" t="s">
        <v>557</v>
      </c>
      <c r="T88" s="38" t="str">
        <f>VLOOKUP(Y88,'Du lieu lien quan'!$C$2:$H$60,5,0)</f>
        <v>C</v>
      </c>
      <c r="U88" s="39" t="str">
        <f>VLOOKUP(Y88,'Du lieu lien quan'!$C$2:$H$60,6,0)</f>
        <v>Nhân viên</v>
      </c>
      <c r="V88" s="663" t="s">
        <v>425</v>
      </c>
      <c r="W88" s="370" t="str">
        <f t="shared" si="159"/>
        <v>Nhân viên</v>
      </c>
      <c r="X88" s="373" t="str">
        <f t="shared" si="160"/>
        <v>01.005</v>
      </c>
      <c r="Y88" s="397" t="s">
        <v>358</v>
      </c>
      <c r="Z88" s="397" t="str">
        <f>VLOOKUP(Y88,'Du lieu lien quan'!$C$1:$H$133,2,0)</f>
        <v>01.007</v>
      </c>
      <c r="AA88" s="52" t="str">
        <f t="shared" si="161"/>
        <v>Lương</v>
      </c>
      <c r="AB88" s="175">
        <v>12</v>
      </c>
      <c r="AC88" s="495" t="str">
        <f t="shared" si="162"/>
        <v>/</v>
      </c>
      <c r="AD88" s="43">
        <f t="shared" si="163"/>
        <v>12</v>
      </c>
      <c r="AE88" s="44">
        <f t="shared" si="164"/>
        <v>3.63</v>
      </c>
      <c r="AF88" s="45">
        <v>11</v>
      </c>
      <c r="AG88" s="413" t="str">
        <f>IF(AD88=AB88,"%",IF(AD88&gt;AB88,"/"))</f>
        <v>%</v>
      </c>
      <c r="AH88" s="485" t="s">
        <v>342</v>
      </c>
      <c r="AI88" s="493" t="s">
        <v>360</v>
      </c>
      <c r="AJ88" s="109" t="s">
        <v>342</v>
      </c>
      <c r="AK88" s="493" t="s">
        <v>360</v>
      </c>
      <c r="AL88" s="494">
        <v>2021</v>
      </c>
      <c r="AM88" s="162"/>
      <c r="AN88" s="53"/>
      <c r="AO88" s="524"/>
      <c r="AP88" s="526"/>
      <c r="AQ88" s="521"/>
      <c r="AR88" s="508">
        <f>IF(AND(AD88=AB88,AF88=0),5,IF(AND(AD88=AB88,AF88&gt;4),AF88+1,IF(AD88&gt;AB88,AD88)))</f>
        <v>12</v>
      </c>
      <c r="AS88" s="413" t="str">
        <f>IF(AD88=AB88,"%",IF(AD88&gt;AB88,AE88+BE88))</f>
        <v>%</v>
      </c>
      <c r="AT88" s="48" t="s">
        <v>342</v>
      </c>
      <c r="AU88" s="484" t="s">
        <v>360</v>
      </c>
      <c r="AV88" s="49" t="s">
        <v>342</v>
      </c>
      <c r="AW88" s="484" t="s">
        <v>360</v>
      </c>
      <c r="AX88" s="50">
        <v>2022</v>
      </c>
      <c r="AY88" s="523"/>
      <c r="AZ88" s="469"/>
      <c r="BA88" s="480">
        <v>1.18</v>
      </c>
      <c r="BB88" s="51">
        <f t="shared" si="169"/>
        <v>1</v>
      </c>
      <c r="BC88" s="328">
        <f t="shared" si="170"/>
        <v>-24265</v>
      </c>
      <c r="BD88" s="280">
        <f>VLOOKUP(Y88,'Du lieu lien quan'!$C$1:$F$60,3,0)</f>
        <v>1.65</v>
      </c>
      <c r="BE88" s="280">
        <f>VLOOKUP(Y88,'Du lieu lien quan'!$C$1:$F$60,4,0)</f>
        <v>0.18</v>
      </c>
      <c r="BF88" s="57" t="str">
        <f t="shared" si="171"/>
        <v>o-o-o</v>
      </c>
      <c r="BG88" s="58"/>
      <c r="BH88" s="424"/>
      <c r="BI88" s="423"/>
      <c r="BJ88" s="489"/>
      <c r="BK88" s="416"/>
      <c r="BL88" s="489"/>
      <c r="BM88" s="103"/>
      <c r="BN88" s="162"/>
      <c r="BO88" s="62"/>
      <c r="BP88" s="59"/>
      <c r="BQ88" s="429"/>
      <c r="BR88" s="60"/>
      <c r="BS88" s="484"/>
      <c r="BT88" s="417"/>
      <c r="BU88" s="484"/>
      <c r="BV88" s="50"/>
      <c r="BW88" s="61"/>
      <c r="BX88" s="161"/>
      <c r="BY88" s="329" t="str">
        <f t="shared" si="172"/>
        <v>- - -</v>
      </c>
      <c r="BZ88" s="57" t="str">
        <f t="shared" si="202"/>
        <v>- - -</v>
      </c>
      <c r="CA88" s="392" t="str">
        <f t="shared" si="174"/>
        <v>Chánh Văn phòng Học viện, Trưởng Ban Tổ chức - Cán bộ, Trưởng Phân viện Học viện Hành chính Quốc gia tại Thành phố Hồ Chí Minh</v>
      </c>
      <c r="CB88" s="63" t="str">
        <f t="shared" si="175"/>
        <v>A</v>
      </c>
      <c r="CC88" s="41" t="str">
        <f>IF(AND(AF88&gt;0,AB88&lt;(AD88-1),CD88&gt;0,CD88&lt;13,OR(AND(CJ88="Cùg Ng",($CC$2-CF88)&gt;BB88),CJ88="- - -")),"Sớm TT","=&gt; s")</f>
        <v>=&gt; s</v>
      </c>
      <c r="CD88" s="52" t="str">
        <f t="shared" si="177"/>
        <v>---</v>
      </c>
      <c r="CE88" s="35" t="str">
        <f t="shared" si="178"/>
        <v>---</v>
      </c>
      <c r="CF88" s="35"/>
      <c r="CG88" s="379"/>
      <c r="CH88" s="35"/>
      <c r="CI88" s="35"/>
      <c r="CJ88" s="35" t="str">
        <f t="shared" si="179"/>
        <v>- - -</v>
      </c>
      <c r="CK88" s="55" t="str">
        <f t="shared" si="180"/>
        <v>- - -</v>
      </c>
      <c r="CL88" s="65"/>
      <c r="CM88" s="66"/>
      <c r="CN88" s="65"/>
      <c r="CO88" s="84"/>
      <c r="CP88" s="55" t="str">
        <f t="shared" si="181"/>
        <v>- - -</v>
      </c>
      <c r="CQ88" s="65"/>
      <c r="CR88" s="182"/>
      <c r="CS88" s="65"/>
      <c r="CT88" s="84"/>
      <c r="CU88" s="69" t="str">
        <f t="shared" si="182"/>
        <v>---</v>
      </c>
      <c r="CV88" s="70" t="str">
        <f t="shared" si="183"/>
        <v>/-/ /-/</v>
      </c>
      <c r="CW88" s="67">
        <f t="shared" si="184"/>
        <v>11</v>
      </c>
      <c r="CX88" s="68">
        <f t="shared" si="185"/>
        <v>2021</v>
      </c>
      <c r="CY88" s="67">
        <f t="shared" si="186"/>
        <v>8</v>
      </c>
      <c r="CZ88" s="68">
        <f t="shared" si="187"/>
        <v>2021</v>
      </c>
      <c r="DA88" s="67">
        <f t="shared" si="188"/>
        <v>5</v>
      </c>
      <c r="DB88" s="68">
        <f t="shared" si="189"/>
        <v>2021</v>
      </c>
      <c r="DC88" s="71" t="str">
        <f t="shared" si="190"/>
        <v>- - -</v>
      </c>
      <c r="DD88" s="72" t="str">
        <f t="shared" si="191"/>
        <v>. .</v>
      </c>
      <c r="DE88" s="72"/>
      <c r="DF88" s="52">
        <f t="shared" si="192"/>
        <v>720</v>
      </c>
      <c r="DG88" s="52">
        <f t="shared" si="193"/>
        <v>-23530</v>
      </c>
      <c r="DH88" s="52">
        <f t="shared" si="194"/>
        <v>-1961</v>
      </c>
      <c r="DI88" s="52" t="str">
        <f t="shared" si="195"/>
        <v>Nam dưới 35</v>
      </c>
      <c r="DJ88" s="52"/>
      <c r="DK88" s="52"/>
      <c r="DL88" s="57" t="str">
        <f t="shared" si="196"/>
        <v>Đến 30</v>
      </c>
      <c r="DM88" s="65" t="str">
        <f t="shared" si="197"/>
        <v>--</v>
      </c>
      <c r="DN88" s="36"/>
      <c r="DO88" s="35"/>
      <c r="DP88" s="158"/>
      <c r="DQ88" s="84"/>
      <c r="DR88" s="84"/>
      <c r="DS88" s="85"/>
      <c r="DT88" s="86"/>
      <c r="DU88" s="76"/>
      <c r="DV88" s="91"/>
      <c r="DW88" s="37" t="s">
        <v>370</v>
      </c>
      <c r="DX88" s="391" t="s">
        <v>416</v>
      </c>
      <c r="DY88" s="37" t="s">
        <v>368</v>
      </c>
      <c r="DZ88" s="48" t="s">
        <v>342</v>
      </c>
      <c r="EA88" s="49" t="s">
        <v>360</v>
      </c>
      <c r="EB88" s="49" t="s">
        <v>342</v>
      </c>
      <c r="EC88" s="49" t="s">
        <v>360</v>
      </c>
      <c r="ED88" s="77">
        <v>2013</v>
      </c>
      <c r="EE88" s="49">
        <f t="shared" si="198"/>
        <v>0</v>
      </c>
      <c r="EF88" s="78" t="str">
        <f t="shared" si="199"/>
        <v>- - -</v>
      </c>
      <c r="EG88" s="48" t="s">
        <v>342</v>
      </c>
      <c r="EH88" s="49" t="s">
        <v>360</v>
      </c>
      <c r="EI88" s="49" t="s">
        <v>342</v>
      </c>
      <c r="EJ88" s="49" t="s">
        <v>360</v>
      </c>
      <c r="EK88" s="77">
        <v>2013</v>
      </c>
      <c r="EL88" s="35"/>
      <c r="EM88" s="55" t="str">
        <f>IF(AND(BE88&gt;0.34,AF88=1,OR(BD88=6.2,BD88=5.75)),((BD88-EL88)-2*0.34),IF(AND(BE88&gt;0.33,AF88=1,OR(BD88=4.4,BD88=4)),((BD88-EL88)-2*0.33),"- - -"))</f>
        <v>- - -</v>
      </c>
      <c r="EN88" s="79" t="str">
        <f t="shared" si="201"/>
        <v>---</v>
      </c>
      <c r="EO88" s="91"/>
      <c r="EP88" s="80"/>
      <c r="EQ88" s="80"/>
      <c r="ER88" s="80"/>
      <c r="ES88" s="80"/>
      <c r="ET88" s="80"/>
      <c r="EU88" s="80"/>
      <c r="EV88" s="80"/>
      <c r="EW88" s="80"/>
      <c r="EX88" s="80"/>
      <c r="EY88" s="80"/>
      <c r="EZ88" s="80"/>
      <c r="FA88" s="80"/>
      <c r="FB88" s="80"/>
      <c r="FC88" s="80"/>
      <c r="FD88" s="80"/>
      <c r="FE88" s="80"/>
      <c r="FF88" s="80"/>
      <c r="FG88" s="80"/>
      <c r="FH88" s="80"/>
      <c r="FI88" s="80"/>
      <c r="FJ88" s="80"/>
      <c r="FK88" s="80"/>
      <c r="FL88" s="80"/>
      <c r="FM88" s="80"/>
      <c r="FN88" s="80"/>
      <c r="FO88" s="80"/>
      <c r="FP88" s="80"/>
      <c r="FQ88" s="80"/>
      <c r="FR88" s="80"/>
    </row>
    <row r="89" spans="1:174" s="244" customFormat="1" ht="11.25" customHeight="1" x14ac:dyDescent="0.25">
      <c r="A89" s="101">
        <v>790</v>
      </c>
      <c r="B89" s="517">
        <v>25</v>
      </c>
      <c r="C89" s="35"/>
      <c r="D89" s="35" t="str">
        <f t="shared" si="156"/>
        <v>Ông</v>
      </c>
      <c r="E89" s="40" t="s">
        <v>387</v>
      </c>
      <c r="F89" s="35" t="s">
        <v>379</v>
      </c>
      <c r="G89" s="64" t="s">
        <v>332</v>
      </c>
      <c r="H89" s="620" t="s">
        <v>360</v>
      </c>
      <c r="I89" s="64" t="s">
        <v>349</v>
      </c>
      <c r="J89" s="620" t="s">
        <v>360</v>
      </c>
      <c r="K89" s="40" t="s">
        <v>320</v>
      </c>
      <c r="L89" s="193" t="s">
        <v>434</v>
      </c>
      <c r="M89" s="652" t="str">
        <f t="shared" si="157"/>
        <v>NLĐ</v>
      </c>
      <c r="N89" s="199"/>
      <c r="O89" s="621" t="e">
        <f t="shared" si="158"/>
        <v>#N/A</v>
      </c>
      <c r="P89" s="40"/>
      <c r="Q89" s="371" t="e">
        <f>VLOOKUP(P89,'[1]- DLiêu Gốc (Không sửa)'!$C$2:$H$116,2,0)</f>
        <v>#N/A</v>
      </c>
      <c r="R89" s="40" t="s">
        <v>370</v>
      </c>
      <c r="S89" s="646" t="s">
        <v>557</v>
      </c>
      <c r="T89" s="38" t="str">
        <f>VLOOKUP(Y89,'Du lieu lien quan'!$C$2:$H$60,5,0)</f>
        <v>C</v>
      </c>
      <c r="U89" s="39" t="str">
        <f>VLOOKUP(Y89,'Du lieu lien quan'!$C$2:$H$60,6,0)</f>
        <v>Nhân viên</v>
      </c>
      <c r="V89" s="663" t="s">
        <v>425</v>
      </c>
      <c r="W89" s="370" t="str">
        <f t="shared" si="159"/>
        <v>Nhân viên</v>
      </c>
      <c r="X89" s="373" t="str">
        <f t="shared" si="160"/>
        <v>01.005</v>
      </c>
      <c r="Y89" s="397" t="s">
        <v>358</v>
      </c>
      <c r="Z89" s="397" t="str">
        <f>VLOOKUP(Y89,'Du lieu lien quan'!$C$1:$H$133,2,0)</f>
        <v>01.007</v>
      </c>
      <c r="AA89" s="52" t="str">
        <f t="shared" si="161"/>
        <v>Lương</v>
      </c>
      <c r="AB89" s="175">
        <v>8</v>
      </c>
      <c r="AC89" s="495" t="str">
        <f t="shared" si="162"/>
        <v>/</v>
      </c>
      <c r="AD89" s="208">
        <f t="shared" si="163"/>
        <v>12</v>
      </c>
      <c r="AE89" s="44">
        <f t="shared" si="164"/>
        <v>2.91</v>
      </c>
      <c r="AF89" s="409"/>
      <c r="AG89" s="409"/>
      <c r="AH89" s="485" t="s">
        <v>342</v>
      </c>
      <c r="AI89" s="493" t="s">
        <v>360</v>
      </c>
      <c r="AJ89" s="109" t="s">
        <v>342</v>
      </c>
      <c r="AK89" s="493" t="s">
        <v>360</v>
      </c>
      <c r="AL89" s="494">
        <v>2020</v>
      </c>
      <c r="AM89" s="162"/>
      <c r="AN89" s="53"/>
      <c r="AO89" s="45">
        <f>AB89+1</f>
        <v>9</v>
      </c>
      <c r="AP89" s="490" t="str">
        <f>IF(AD89=AB89,"%",IF(AD89&gt;AB89,"/"))</f>
        <v>/</v>
      </c>
      <c r="AQ89" s="87">
        <f>IF(AND(AD89=AB89,AO89=4),5,IF(AND(AD89=AB89,AO89&gt;4),AO89+1,IF(AD89&gt;AB89,AD89)))</f>
        <v>12</v>
      </c>
      <c r="AR89" s="47">
        <f>IF(AD89=AB89,"%",IF(AD89&gt;AB89,AE89+BE89))</f>
        <v>3.0900000000000003</v>
      </c>
      <c r="AS89" s="413"/>
      <c r="AT89" s="48" t="s">
        <v>342</v>
      </c>
      <c r="AU89" s="484" t="s">
        <v>360</v>
      </c>
      <c r="AV89" s="49" t="s">
        <v>342</v>
      </c>
      <c r="AW89" s="484" t="s">
        <v>360</v>
      </c>
      <c r="AX89" s="50">
        <v>2022</v>
      </c>
      <c r="AY89" s="91"/>
      <c r="AZ89" s="266"/>
      <c r="BA89" s="480">
        <v>1.18</v>
      </c>
      <c r="BB89" s="51">
        <f t="shared" si="169"/>
        <v>2</v>
      </c>
      <c r="BC89" s="328">
        <f t="shared" si="170"/>
        <v>-24265</v>
      </c>
      <c r="BD89" s="280">
        <f>VLOOKUP(Y89,'Du lieu lien quan'!$C$1:$F$60,3,0)</f>
        <v>1.65</v>
      </c>
      <c r="BE89" s="280">
        <f>VLOOKUP(Y89,'Du lieu lien quan'!$C$1:$F$60,4,0)</f>
        <v>0.18</v>
      </c>
      <c r="BF89" s="57" t="str">
        <f t="shared" si="171"/>
        <v>o-o-o</v>
      </c>
      <c r="BG89" s="58"/>
      <c r="BH89" s="424"/>
      <c r="BI89" s="423"/>
      <c r="BJ89" s="489"/>
      <c r="BK89" s="416"/>
      <c r="BL89" s="489"/>
      <c r="BM89" s="103"/>
      <c r="BN89" s="162"/>
      <c r="BO89" s="62"/>
      <c r="BP89" s="59"/>
      <c r="BQ89" s="429"/>
      <c r="BR89" s="60"/>
      <c r="BS89" s="484"/>
      <c r="BT89" s="417"/>
      <c r="BU89" s="484"/>
      <c r="BV89" s="50"/>
      <c r="BW89" s="61"/>
      <c r="BX89" s="161"/>
      <c r="BY89" s="329" t="str">
        <f t="shared" si="172"/>
        <v>- - -</v>
      </c>
      <c r="BZ89" s="57" t="str">
        <f t="shared" si="202"/>
        <v>- - -</v>
      </c>
      <c r="CA89" s="392" t="str">
        <f t="shared" si="174"/>
        <v>Chánh Văn phòng Học viện, Trưởng Ban Tổ chức - Cán bộ, Trưởng Phân viện Học viện Hành chính Quốc gia tại Thành phố Hồ Chí Minh</v>
      </c>
      <c r="CB89" s="63" t="str">
        <f t="shared" si="175"/>
        <v>A</v>
      </c>
      <c r="CC89" s="41" t="str">
        <f>IF(AND(AO89&gt;0,AB89&lt;(AD89-1),CD89&gt;0,CD89&lt;13,OR(AND(CJ89="Cùg Ng",($CC$2-CF89)&gt;BB89),CJ89="- - -")),"Sớm TT","=&gt; s")</f>
        <v>=&gt; s</v>
      </c>
      <c r="CD89" s="52">
        <f t="shared" si="177"/>
        <v>24277</v>
      </c>
      <c r="CE89" s="35" t="str">
        <f t="shared" si="178"/>
        <v>---</v>
      </c>
      <c r="CF89" s="35"/>
      <c r="CG89" s="379"/>
      <c r="CH89" s="35"/>
      <c r="CI89" s="35"/>
      <c r="CJ89" s="35" t="str">
        <f t="shared" si="179"/>
        <v>- - -</v>
      </c>
      <c r="CK89" s="55" t="str">
        <f t="shared" si="180"/>
        <v>- - -</v>
      </c>
      <c r="CL89" s="65"/>
      <c r="CM89" s="66"/>
      <c r="CN89" s="65"/>
      <c r="CO89" s="84"/>
      <c r="CP89" s="55" t="str">
        <f t="shared" si="181"/>
        <v>- - -</v>
      </c>
      <c r="CQ89" s="65"/>
      <c r="CR89" s="66"/>
      <c r="CS89" s="65"/>
      <c r="CT89" s="84"/>
      <c r="CU89" s="69" t="str">
        <f t="shared" si="182"/>
        <v>---</v>
      </c>
      <c r="CV89" s="70" t="str">
        <f t="shared" si="183"/>
        <v>/-/ /-/</v>
      </c>
      <c r="CW89" s="67">
        <f t="shared" si="184"/>
        <v>10</v>
      </c>
      <c r="CX89" s="68">
        <f t="shared" si="185"/>
        <v>2030</v>
      </c>
      <c r="CY89" s="67">
        <f t="shared" si="186"/>
        <v>7</v>
      </c>
      <c r="CZ89" s="68">
        <f t="shared" si="187"/>
        <v>2030</v>
      </c>
      <c r="DA89" s="67">
        <f t="shared" si="188"/>
        <v>4</v>
      </c>
      <c r="DB89" s="68">
        <f t="shared" si="189"/>
        <v>2030</v>
      </c>
      <c r="DC89" s="71" t="str">
        <f t="shared" si="190"/>
        <v>- - -</v>
      </c>
      <c r="DD89" s="72" t="str">
        <f t="shared" si="191"/>
        <v>. .</v>
      </c>
      <c r="DE89" s="72"/>
      <c r="DF89" s="52">
        <f t="shared" si="192"/>
        <v>720</v>
      </c>
      <c r="DG89" s="52">
        <f t="shared" si="193"/>
        <v>-23637</v>
      </c>
      <c r="DH89" s="52">
        <f t="shared" si="194"/>
        <v>-1970</v>
      </c>
      <c r="DI89" s="52" t="str">
        <f t="shared" si="195"/>
        <v>Nam dưới 35</v>
      </c>
      <c r="DJ89" s="52"/>
      <c r="DK89" s="52"/>
      <c r="DL89" s="57" t="str">
        <f t="shared" si="196"/>
        <v>Đến 30</v>
      </c>
      <c r="DM89" s="65" t="str">
        <f t="shared" si="197"/>
        <v>--</v>
      </c>
      <c r="DN89" s="36"/>
      <c r="DO89" s="35"/>
      <c r="DP89" s="158"/>
      <c r="DQ89" s="84"/>
      <c r="DR89" s="84"/>
      <c r="DS89" s="85"/>
      <c r="DT89" s="86"/>
      <c r="DU89" s="76"/>
      <c r="DV89" s="91"/>
      <c r="DW89" s="37" t="s">
        <v>370</v>
      </c>
      <c r="DX89" s="391" t="s">
        <v>416</v>
      </c>
      <c r="DY89" s="37" t="s">
        <v>368</v>
      </c>
      <c r="DZ89" s="48" t="s">
        <v>342</v>
      </c>
      <c r="EA89" s="49" t="s">
        <v>360</v>
      </c>
      <c r="EB89" s="49" t="s">
        <v>342</v>
      </c>
      <c r="EC89" s="49" t="s">
        <v>360</v>
      </c>
      <c r="ED89" s="77">
        <v>2014</v>
      </c>
      <c r="EE89" s="49">
        <f t="shared" si="198"/>
        <v>0</v>
      </c>
      <c r="EF89" s="78" t="str">
        <f t="shared" si="199"/>
        <v>- - -</v>
      </c>
      <c r="EG89" s="48" t="s">
        <v>342</v>
      </c>
      <c r="EH89" s="49" t="s">
        <v>360</v>
      </c>
      <c r="EI89" s="49" t="s">
        <v>342</v>
      </c>
      <c r="EJ89" s="49" t="s">
        <v>360</v>
      </c>
      <c r="EK89" s="77">
        <v>2014</v>
      </c>
      <c r="EL89" s="35"/>
      <c r="EM89" s="55" t="str">
        <f>IF(AND(BE89&gt;0.34,AO89=1,OR(BD89=6.2,BD89=5.75)),((BD89-EL89)-2*0.34),IF(AND(BE89&gt;0.33,AO89=1,OR(BD89=4.4,BD89=4)),((BD89-EL89)-2*0.33),"- - -"))</f>
        <v>- - -</v>
      </c>
      <c r="EN89" s="79" t="str">
        <f t="shared" si="201"/>
        <v>---</v>
      </c>
      <c r="EO89" s="91"/>
      <c r="EP89" s="80"/>
      <c r="EQ89" s="80"/>
      <c r="ER89" s="80"/>
      <c r="ES89" s="80"/>
      <c r="ET89" s="80"/>
      <c r="EU89" s="80"/>
      <c r="EV89" s="80"/>
      <c r="EW89" s="80"/>
      <c r="EX89" s="80"/>
      <c r="EY89" s="80"/>
      <c r="EZ89" s="80"/>
      <c r="FA89" s="80"/>
      <c r="FB89" s="80"/>
      <c r="FC89" s="80"/>
      <c r="FD89" s="80"/>
      <c r="FE89" s="80"/>
      <c r="FF89" s="80"/>
      <c r="FG89" s="80"/>
      <c r="FH89" s="80"/>
      <c r="FI89" s="80"/>
      <c r="FJ89" s="80"/>
      <c r="FK89" s="80"/>
      <c r="FL89" s="80"/>
      <c r="FM89" s="238"/>
      <c r="FN89" s="80"/>
      <c r="FO89" s="80"/>
      <c r="FP89" s="80"/>
      <c r="FQ89" s="80"/>
      <c r="FR89" s="80"/>
    </row>
    <row r="90" spans="1:174" s="2147" customFormat="1" ht="11.25" customHeight="1" x14ac:dyDescent="0.25">
      <c r="A90" s="101">
        <v>792</v>
      </c>
      <c r="B90" s="371">
        <v>26</v>
      </c>
      <c r="C90" s="35"/>
      <c r="D90" s="35" t="str">
        <f t="shared" si="156"/>
        <v>Bà</v>
      </c>
      <c r="E90" s="40" t="s">
        <v>291</v>
      </c>
      <c r="F90" s="35" t="s">
        <v>381</v>
      </c>
      <c r="G90" s="64" t="s">
        <v>326</v>
      </c>
      <c r="H90" s="620" t="s">
        <v>360</v>
      </c>
      <c r="I90" s="64" t="s">
        <v>347</v>
      </c>
      <c r="J90" s="620" t="s">
        <v>360</v>
      </c>
      <c r="K90" s="40" t="s">
        <v>312</v>
      </c>
      <c r="L90" s="193" t="s">
        <v>434</v>
      </c>
      <c r="M90" s="652" t="str">
        <f t="shared" si="157"/>
        <v>NLĐ</v>
      </c>
      <c r="N90" s="199"/>
      <c r="O90" s="621" t="e">
        <f t="shared" si="158"/>
        <v>#N/A</v>
      </c>
      <c r="P90" s="40"/>
      <c r="Q90" s="371" t="e">
        <f>VLOOKUP(P90,'[1]- DLiêu Gốc (Không sửa)'!$C$2:$H$116,2,0)</f>
        <v>#N/A</v>
      </c>
      <c r="R90" s="40" t="s">
        <v>370</v>
      </c>
      <c r="S90" s="646" t="s">
        <v>557</v>
      </c>
      <c r="T90" s="54" t="str">
        <f>VLOOKUP(Y90,'Du lieu lien quan'!$C$2:$H$60,5,0)</f>
        <v>C</v>
      </c>
      <c r="U90" s="34" t="str">
        <f>VLOOKUP(Y90,'Du lieu lien quan'!$C$2:$H$60,6,0)</f>
        <v>Nhân viên</v>
      </c>
      <c r="V90" s="663" t="s">
        <v>425</v>
      </c>
      <c r="W90" s="512" t="str">
        <f t="shared" si="159"/>
        <v>Nhân viên</v>
      </c>
      <c r="X90" s="373" t="str">
        <f t="shared" si="160"/>
        <v>01.005</v>
      </c>
      <c r="Y90" s="397" t="s">
        <v>358</v>
      </c>
      <c r="Z90" s="397" t="str">
        <f>VLOOKUP(Y90,'Du lieu lien quan'!$C$1:$H$133,2,0)</f>
        <v>01.007</v>
      </c>
      <c r="AA90" s="52" t="str">
        <f t="shared" si="161"/>
        <v>Lương</v>
      </c>
      <c r="AB90" s="622">
        <v>8</v>
      </c>
      <c r="AC90" s="86" t="str">
        <f t="shared" si="162"/>
        <v>/</v>
      </c>
      <c r="AD90" s="232">
        <f t="shared" si="163"/>
        <v>12</v>
      </c>
      <c r="AE90" s="44">
        <f t="shared" si="164"/>
        <v>2.91</v>
      </c>
      <c r="AF90" s="44"/>
      <c r="AG90" s="44"/>
      <c r="AH90" s="44" t="s">
        <v>342</v>
      </c>
      <c r="AI90" s="99" t="s">
        <v>360</v>
      </c>
      <c r="AJ90" s="44" t="s">
        <v>342</v>
      </c>
      <c r="AK90" s="99" t="s">
        <v>360</v>
      </c>
      <c r="AL90" s="623">
        <v>2020</v>
      </c>
      <c r="AM90" s="261"/>
      <c r="AN90" s="262"/>
      <c r="AO90" s="508">
        <f>AB90+1</f>
        <v>9</v>
      </c>
      <c r="AP90" s="47" t="str">
        <f>IF(AD90=AB90,"%",IF(AD90&gt;AB90,"/"))</f>
        <v>/</v>
      </c>
      <c r="AQ90" s="624">
        <f>IF(AND(AD90=AB90,AO90=4),5,IF(AND(AD90=AB90,AO90&gt;4),AO90+1,IF(AD90&gt;AB90,AD90)))</f>
        <v>12</v>
      </c>
      <c r="AR90" s="47">
        <f>IF(AD90=AB90,"%",IF(AD90&gt;AB90,AE90+BE90))</f>
        <v>3.0900000000000003</v>
      </c>
      <c r="AS90" s="47"/>
      <c r="AT90" s="81" t="s">
        <v>342</v>
      </c>
      <c r="AU90" s="75" t="s">
        <v>360</v>
      </c>
      <c r="AV90" s="82" t="s">
        <v>342</v>
      </c>
      <c r="AW90" s="75" t="s">
        <v>360</v>
      </c>
      <c r="AX90" s="50">
        <v>2022</v>
      </c>
      <c r="AY90" s="40"/>
      <c r="AZ90" s="469" t="s">
        <v>644</v>
      </c>
      <c r="BA90" s="480">
        <v>1.18</v>
      </c>
      <c r="BB90" s="51">
        <f t="shared" si="169"/>
        <v>2</v>
      </c>
      <c r="BC90" s="513">
        <f t="shared" si="170"/>
        <v>-24265</v>
      </c>
      <c r="BD90" s="280">
        <f>VLOOKUP(Y90,'Du lieu lien quan'!$C$1:$F$60,3,0)</f>
        <v>1.65</v>
      </c>
      <c r="BE90" s="280">
        <f>VLOOKUP(Y90,'Du lieu lien quan'!$C$1:$F$60,4,0)</f>
        <v>0.18</v>
      </c>
      <c r="BF90" s="57" t="str">
        <f t="shared" si="171"/>
        <v>o-o-o</v>
      </c>
      <c r="BG90" s="625"/>
      <c r="BH90" s="626"/>
      <c r="BI90" s="137"/>
      <c r="BJ90" s="627"/>
      <c r="BK90" s="628"/>
      <c r="BL90" s="627"/>
      <c r="BM90" s="101"/>
      <c r="BN90" s="261"/>
      <c r="BO90" s="629"/>
      <c r="BP90" s="625"/>
      <c r="BQ90" s="262"/>
      <c r="BR90" s="630"/>
      <c r="BS90" s="75"/>
      <c r="BT90" s="630"/>
      <c r="BU90" s="75"/>
      <c r="BV90" s="40"/>
      <c r="BW90" s="83"/>
      <c r="BX90" s="161"/>
      <c r="BY90" s="514" t="str">
        <f t="shared" si="172"/>
        <v>- - -</v>
      </c>
      <c r="BZ90" s="57" t="str">
        <f t="shared" si="202"/>
        <v>- - -</v>
      </c>
      <c r="CA90" s="392" t="str">
        <f t="shared" si="174"/>
        <v>Chánh Văn phòng Học viện, Trưởng Ban Tổ chức - Cán bộ, Trưởng Phân viện Học viện Hành chính Quốc gia tại Thành phố Hồ Chí Minh</v>
      </c>
      <c r="CB90" s="63" t="str">
        <f t="shared" si="175"/>
        <v>A</v>
      </c>
      <c r="CC90" s="52" t="str">
        <f>IF(AND(AO90&gt;0,AB90&lt;(AD90-1),CD90&gt;0,CD90&lt;13,OR(AND(CJ90="Cùg Ng",($CC$2-CF90)&gt;BB90),CJ90="- - -")),"Sớm TT","=&gt; s")</f>
        <v>=&gt; s</v>
      </c>
      <c r="CD90" s="52">
        <f t="shared" si="177"/>
        <v>24277</v>
      </c>
      <c r="CE90" s="35" t="str">
        <f t="shared" si="178"/>
        <v>---</v>
      </c>
      <c r="CF90" s="35"/>
      <c r="CG90" s="373"/>
      <c r="CH90" s="35"/>
      <c r="CI90" s="35"/>
      <c r="CJ90" s="35" t="str">
        <f t="shared" si="179"/>
        <v>- - -</v>
      </c>
      <c r="CK90" s="55" t="str">
        <f t="shared" si="180"/>
        <v>- - -</v>
      </c>
      <c r="CL90" s="55"/>
      <c r="CM90" s="35"/>
      <c r="CN90" s="55"/>
      <c r="CO90" s="55"/>
      <c r="CP90" s="55" t="str">
        <f t="shared" si="181"/>
        <v>- - -</v>
      </c>
      <c r="CQ90" s="55"/>
      <c r="CR90" s="35"/>
      <c r="CS90" s="55"/>
      <c r="CT90" s="55"/>
      <c r="CU90" s="631" t="str">
        <f t="shared" si="182"/>
        <v>---</v>
      </c>
      <c r="CV90" s="70" t="str">
        <f t="shared" si="183"/>
        <v>/-/ /-/</v>
      </c>
      <c r="CW90" s="98">
        <f t="shared" si="184"/>
        <v>4</v>
      </c>
      <c r="CX90" s="98">
        <f t="shared" si="185"/>
        <v>2037</v>
      </c>
      <c r="CY90" s="98">
        <f t="shared" si="186"/>
        <v>1</v>
      </c>
      <c r="CZ90" s="98">
        <f t="shared" si="187"/>
        <v>2037</v>
      </c>
      <c r="DA90" s="98">
        <f t="shared" si="188"/>
        <v>10</v>
      </c>
      <c r="DB90" s="98">
        <f t="shared" si="189"/>
        <v>2036</v>
      </c>
      <c r="DC90" s="79" t="str">
        <f t="shared" si="190"/>
        <v>- - -</v>
      </c>
      <c r="DD90" s="632" t="str">
        <f t="shared" si="191"/>
        <v>. .</v>
      </c>
      <c r="DE90" s="632"/>
      <c r="DF90" s="52">
        <f t="shared" si="192"/>
        <v>660</v>
      </c>
      <c r="DG90" s="52">
        <f t="shared" si="193"/>
        <v>-23775</v>
      </c>
      <c r="DH90" s="52">
        <f t="shared" si="194"/>
        <v>-1982</v>
      </c>
      <c r="DI90" s="52" t="str">
        <f t="shared" si="195"/>
        <v>Nữ dưới 30</v>
      </c>
      <c r="DJ90" s="52"/>
      <c r="DK90" s="52"/>
      <c r="DL90" s="57" t="str">
        <f t="shared" si="196"/>
        <v>Đến 30</v>
      </c>
      <c r="DM90" s="55" t="str">
        <f t="shared" si="197"/>
        <v>--</v>
      </c>
      <c r="DN90" s="35"/>
      <c r="DO90" s="35"/>
      <c r="DP90" s="55"/>
      <c r="DQ90" s="55"/>
      <c r="DR90" s="55"/>
      <c r="DS90" s="372"/>
      <c r="DT90" s="372"/>
      <c r="DU90" s="76"/>
      <c r="DV90" s="40"/>
      <c r="DW90" s="40" t="s">
        <v>370</v>
      </c>
      <c r="DX90" s="263" t="s">
        <v>416</v>
      </c>
      <c r="DY90" s="40" t="s">
        <v>368</v>
      </c>
      <c r="DZ90" s="81" t="s">
        <v>342</v>
      </c>
      <c r="EA90" s="82" t="s">
        <v>360</v>
      </c>
      <c r="EB90" s="82" t="s">
        <v>342</v>
      </c>
      <c r="EC90" s="82" t="s">
        <v>360</v>
      </c>
      <c r="ED90" s="633">
        <v>2014</v>
      </c>
      <c r="EE90" s="82">
        <f t="shared" si="198"/>
        <v>0</v>
      </c>
      <c r="EF90" s="35" t="str">
        <f t="shared" si="199"/>
        <v>- - -</v>
      </c>
      <c r="EG90" s="81" t="s">
        <v>342</v>
      </c>
      <c r="EH90" s="82" t="s">
        <v>360</v>
      </c>
      <c r="EI90" s="82" t="s">
        <v>342</v>
      </c>
      <c r="EJ90" s="82" t="s">
        <v>360</v>
      </c>
      <c r="EK90" s="633">
        <v>2014</v>
      </c>
      <c r="EL90" s="35"/>
      <c r="EM90" s="55" t="str">
        <f>IF(AND(BE90&gt;0.34,AO90=1,OR(BD90=6.2,BD90=5.75)),((BD90-EL90)-2*0.34),IF(AND(BE90&gt;0.33,AO90=1,OR(BD90=4.4,BD90=4)),((BD90-EL90)-2*0.33),"- - -"))</f>
        <v>- - -</v>
      </c>
      <c r="EN90" s="79" t="str">
        <f t="shared" si="201"/>
        <v>---</v>
      </c>
      <c r="EO90" s="40"/>
      <c r="EP90" s="98"/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/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/>
      <c r="FM90" s="98"/>
      <c r="FN90" s="98"/>
      <c r="FO90" s="98"/>
      <c r="FP90" s="98"/>
      <c r="FQ90" s="98"/>
      <c r="FR90" s="98"/>
    </row>
    <row r="91" spans="1:174" s="244" customFormat="1" ht="11.25" customHeight="1" x14ac:dyDescent="0.2">
      <c r="A91" s="101">
        <v>797</v>
      </c>
      <c r="B91" s="517">
        <v>27</v>
      </c>
      <c r="C91" s="35"/>
      <c r="D91" s="35" t="str">
        <f t="shared" si="156"/>
        <v>Bà</v>
      </c>
      <c r="E91" s="40" t="s">
        <v>100</v>
      </c>
      <c r="F91" s="35" t="s">
        <v>381</v>
      </c>
      <c r="G91" s="64" t="s">
        <v>375</v>
      </c>
      <c r="H91" s="620" t="s">
        <v>360</v>
      </c>
      <c r="I91" s="64" t="s">
        <v>377</v>
      </c>
      <c r="J91" s="620" t="s">
        <v>360</v>
      </c>
      <c r="K91" s="40" t="s">
        <v>321</v>
      </c>
      <c r="L91" s="193" t="s">
        <v>434</v>
      </c>
      <c r="M91" s="652" t="str">
        <f t="shared" si="157"/>
        <v>NLĐ</v>
      </c>
      <c r="N91" s="199"/>
      <c r="O91" s="621" t="e">
        <f t="shared" si="158"/>
        <v>#N/A</v>
      </c>
      <c r="P91" s="40"/>
      <c r="Q91" s="371" t="e">
        <f>VLOOKUP(P91,'[1]- DLiêu Gốc (Không sửa)'!$C$2:$H$116,2,0)</f>
        <v>#N/A</v>
      </c>
      <c r="R91" s="90" t="s">
        <v>370</v>
      </c>
      <c r="S91" s="646" t="s">
        <v>557</v>
      </c>
      <c r="T91" s="38" t="str">
        <f>VLOOKUP(Y91,'Du lieu lien quan'!$C$2:$H$60,5,0)</f>
        <v>C</v>
      </c>
      <c r="U91" s="39" t="str">
        <f>VLOOKUP(Y91,'Du lieu lien quan'!$C$2:$H$60,6,0)</f>
        <v>Nhân viên</v>
      </c>
      <c r="V91" s="663" t="s">
        <v>425</v>
      </c>
      <c r="W91" s="370" t="str">
        <f t="shared" si="159"/>
        <v>Nhân viên</v>
      </c>
      <c r="X91" s="373" t="str">
        <f t="shared" si="160"/>
        <v>01.005</v>
      </c>
      <c r="Y91" s="397" t="s">
        <v>356</v>
      </c>
      <c r="Z91" s="397" t="str">
        <f>VLOOKUP(Y91,'Du lieu lien quan'!$C$1:$H$133,2,0)</f>
        <v>01.009</v>
      </c>
      <c r="AA91" s="52" t="str">
        <f t="shared" si="161"/>
        <v>Lương</v>
      </c>
      <c r="AB91" s="175">
        <v>12</v>
      </c>
      <c r="AC91" s="495" t="str">
        <f t="shared" si="162"/>
        <v>/</v>
      </c>
      <c r="AD91" s="43">
        <f t="shared" si="163"/>
        <v>12</v>
      </c>
      <c r="AE91" s="54">
        <f t="shared" si="164"/>
        <v>2.98</v>
      </c>
      <c r="AF91" s="45">
        <v>11</v>
      </c>
      <c r="AG91" s="413" t="str">
        <f>IF(AD91=AB91,"%",IF(AD91&gt;AB91,"/"))</f>
        <v>%</v>
      </c>
      <c r="AH91" s="506" t="s">
        <v>342</v>
      </c>
      <c r="AI91" s="493" t="s">
        <v>360</v>
      </c>
      <c r="AJ91" s="46" t="s">
        <v>342</v>
      </c>
      <c r="AK91" s="493" t="s">
        <v>360</v>
      </c>
      <c r="AL91" s="874">
        <v>2021</v>
      </c>
      <c r="AM91" s="162"/>
      <c r="AN91" s="53"/>
      <c r="AO91" s="524"/>
      <c r="AP91" s="526"/>
      <c r="AQ91" s="521"/>
      <c r="AR91" s="508">
        <f>IF(AND(AD91=AB91,AF91=0),5,IF(AND(AD91=AB91,AF91&gt;4),AF91+1,IF(AD91&gt;AB91,AD91)))</f>
        <v>12</v>
      </c>
      <c r="AS91" s="413" t="str">
        <f>IF(AD91=AB91,"%",IF(AD91&gt;AB91,AE91+BE91))</f>
        <v>%</v>
      </c>
      <c r="AT91" s="48" t="s">
        <v>342</v>
      </c>
      <c r="AU91" s="484" t="s">
        <v>360</v>
      </c>
      <c r="AV91" s="49" t="s">
        <v>342</v>
      </c>
      <c r="AW91" s="484" t="s">
        <v>360</v>
      </c>
      <c r="AX91" s="50">
        <v>2022</v>
      </c>
      <c r="AY91" s="91"/>
      <c r="AZ91" s="469"/>
      <c r="BA91" s="480">
        <v>1.18</v>
      </c>
      <c r="BB91" s="51">
        <f t="shared" si="169"/>
        <v>1</v>
      </c>
      <c r="BC91" s="328">
        <f t="shared" si="170"/>
        <v>-24265</v>
      </c>
      <c r="BD91" s="280">
        <f>VLOOKUP(Y91,'Du lieu lien quan'!$C$1:$F$60,3,0)</f>
        <v>1</v>
      </c>
      <c r="BE91" s="280">
        <f>VLOOKUP(Y91,'Du lieu lien quan'!$C$1:$F$60,4,0)</f>
        <v>0.18</v>
      </c>
      <c r="BF91" s="57" t="str">
        <f t="shared" si="171"/>
        <v>o-o-o</v>
      </c>
      <c r="BG91" s="58"/>
      <c r="BH91" s="424"/>
      <c r="BI91" s="423"/>
      <c r="BJ91" s="489"/>
      <c r="BK91" s="416"/>
      <c r="BL91" s="489"/>
      <c r="BM91" s="103"/>
      <c r="BN91" s="162"/>
      <c r="BO91" s="62"/>
      <c r="BP91" s="59"/>
      <c r="BQ91" s="429"/>
      <c r="BR91" s="60"/>
      <c r="BS91" s="484"/>
      <c r="BT91" s="417"/>
      <c r="BU91" s="484"/>
      <c r="BV91" s="50"/>
      <c r="BW91" s="94"/>
      <c r="BX91" s="161"/>
      <c r="BY91" s="329" t="str">
        <f t="shared" si="172"/>
        <v>- - -</v>
      </c>
      <c r="BZ91" s="57" t="str">
        <f t="shared" si="202"/>
        <v>- - -</v>
      </c>
      <c r="CA91" s="392" t="str">
        <f t="shared" si="174"/>
        <v>Chánh Văn phòng Học viện, Trưởng Ban Tổ chức - Cán bộ, Trưởng Phân viện Học viện Hành chính Quốc gia tại Thành phố Hồ Chí Minh</v>
      </c>
      <c r="CB91" s="63" t="str">
        <f t="shared" si="175"/>
        <v>A</v>
      </c>
      <c r="CC91" s="41" t="str">
        <f>IF(AND(AF91&gt;0,AB91&lt;(AD91-1),CD91&gt;0,CD91&lt;13,OR(AND(CJ91="Cùg Ng",($CC$2-CF91)&gt;BB91),CJ91="- - -")),"Sớm TT","=&gt; s")</f>
        <v>=&gt; s</v>
      </c>
      <c r="CD91" s="52" t="str">
        <f t="shared" si="177"/>
        <v>---</v>
      </c>
      <c r="CE91" s="35" t="str">
        <f t="shared" si="178"/>
        <v>---</v>
      </c>
      <c r="CF91" s="35"/>
      <c r="CG91" s="379"/>
      <c r="CH91" s="35"/>
      <c r="CI91" s="35"/>
      <c r="CJ91" s="35" t="str">
        <f t="shared" si="179"/>
        <v>- - -</v>
      </c>
      <c r="CK91" s="55" t="str">
        <f t="shared" si="180"/>
        <v>- - -</v>
      </c>
      <c r="CL91" s="65"/>
      <c r="CM91" s="66"/>
      <c r="CN91" s="65"/>
      <c r="CO91" s="84"/>
      <c r="CP91" s="55" t="str">
        <f t="shared" si="181"/>
        <v>- - -</v>
      </c>
      <c r="CQ91" s="65"/>
      <c r="CR91" s="66"/>
      <c r="CS91" s="65"/>
      <c r="CT91" s="84"/>
      <c r="CU91" s="69" t="str">
        <f t="shared" si="182"/>
        <v>---</v>
      </c>
      <c r="CV91" s="70" t="str">
        <f t="shared" si="183"/>
        <v>/-/ /-/</v>
      </c>
      <c r="CW91" s="67">
        <f t="shared" si="184"/>
        <v>5</v>
      </c>
      <c r="CX91" s="68">
        <f t="shared" si="185"/>
        <v>2028</v>
      </c>
      <c r="CY91" s="67">
        <f t="shared" si="186"/>
        <v>2</v>
      </c>
      <c r="CZ91" s="68">
        <f t="shared" si="187"/>
        <v>2028</v>
      </c>
      <c r="DA91" s="67">
        <f t="shared" si="188"/>
        <v>11</v>
      </c>
      <c r="DB91" s="68">
        <f t="shared" si="189"/>
        <v>2027</v>
      </c>
      <c r="DC91" s="71" t="str">
        <f t="shared" si="190"/>
        <v>- - -</v>
      </c>
      <c r="DD91" s="72" t="str">
        <f t="shared" si="191"/>
        <v>. .</v>
      </c>
      <c r="DE91" s="72"/>
      <c r="DF91" s="52">
        <f t="shared" si="192"/>
        <v>660</v>
      </c>
      <c r="DG91" s="52">
        <f t="shared" si="193"/>
        <v>-23668</v>
      </c>
      <c r="DH91" s="52">
        <f t="shared" si="194"/>
        <v>-1973</v>
      </c>
      <c r="DI91" s="52" t="str">
        <f t="shared" si="195"/>
        <v>Nữ dưới 30</v>
      </c>
      <c r="DJ91" s="52"/>
      <c r="DK91" s="52"/>
      <c r="DL91" s="57" t="str">
        <f t="shared" si="196"/>
        <v>Đến 30</v>
      </c>
      <c r="DM91" s="65" t="str">
        <f t="shared" si="197"/>
        <v>--</v>
      </c>
      <c r="DN91" s="36"/>
      <c r="DO91" s="95"/>
      <c r="DP91" s="73"/>
      <c r="DQ91" s="36"/>
      <c r="DR91" s="36"/>
      <c r="DS91" s="74"/>
      <c r="DT91" s="40"/>
      <c r="DU91" s="76"/>
      <c r="DV91" s="91"/>
      <c r="DW91" s="160" t="s">
        <v>370</v>
      </c>
      <c r="DX91" s="391" t="s">
        <v>416</v>
      </c>
      <c r="DY91" s="160" t="s">
        <v>368</v>
      </c>
      <c r="DZ91" s="48" t="s">
        <v>342</v>
      </c>
      <c r="EA91" s="49" t="s">
        <v>360</v>
      </c>
      <c r="EB91" s="49" t="s">
        <v>342</v>
      </c>
      <c r="EC91" s="49" t="s">
        <v>360</v>
      </c>
      <c r="ED91" s="77">
        <v>2013</v>
      </c>
      <c r="EE91" s="49">
        <f t="shared" si="198"/>
        <v>0</v>
      </c>
      <c r="EF91" s="78" t="str">
        <f t="shared" si="199"/>
        <v>- - -</v>
      </c>
      <c r="EG91" s="48" t="s">
        <v>342</v>
      </c>
      <c r="EH91" s="49" t="s">
        <v>360</v>
      </c>
      <c r="EI91" s="49" t="s">
        <v>342</v>
      </c>
      <c r="EJ91" s="49" t="s">
        <v>360</v>
      </c>
      <c r="EK91" s="77">
        <v>2013</v>
      </c>
      <c r="EL91" s="35"/>
      <c r="EM91" s="55" t="str">
        <f>IF(AND(BE91&gt;0.34,AF91=1,OR(BD91=6.2,BD91=5.75)),((BD91-EL91)-2*0.34),IF(AND(BE91&gt;0.33,AF91=1,OR(BD91=4.4,BD91=4)),((BD91-EL91)-2*0.33),"- - -"))</f>
        <v>- - -</v>
      </c>
      <c r="EN91" s="79" t="str">
        <f t="shared" si="201"/>
        <v>---</v>
      </c>
      <c r="EO91" s="91"/>
      <c r="EP91" s="80"/>
      <c r="EQ91" s="80"/>
      <c r="ER91" s="80"/>
      <c r="ES91" s="80"/>
      <c r="ET91" s="80"/>
      <c r="EU91" s="80"/>
      <c r="EV91" s="80"/>
      <c r="EW91" s="80"/>
      <c r="EX91" s="80"/>
      <c r="EY91" s="80"/>
      <c r="EZ91" s="80"/>
      <c r="FA91" s="80"/>
      <c r="FB91" s="80"/>
      <c r="FC91" s="80"/>
      <c r="FD91" s="80"/>
      <c r="FE91" s="80"/>
      <c r="FF91" s="80"/>
      <c r="FG91" s="80"/>
      <c r="FH91" s="80"/>
      <c r="FI91" s="80"/>
      <c r="FJ91" s="80"/>
      <c r="FK91" s="80"/>
      <c r="FL91" s="80"/>
      <c r="FM91" s="80"/>
      <c r="FN91" s="80"/>
      <c r="FO91" s="80"/>
      <c r="FP91" s="80"/>
      <c r="FQ91" s="80"/>
      <c r="FR91" s="80"/>
    </row>
    <row r="92" spans="1:174" s="244" customFormat="1" ht="11.25" customHeight="1" x14ac:dyDescent="0.2">
      <c r="A92" s="101">
        <v>816</v>
      </c>
      <c r="B92" s="371">
        <v>28</v>
      </c>
      <c r="C92" s="35"/>
      <c r="D92" s="35" t="str">
        <f t="shared" si="156"/>
        <v>Bà</v>
      </c>
      <c r="E92" s="40" t="s">
        <v>289</v>
      </c>
      <c r="F92" s="35" t="s">
        <v>381</v>
      </c>
      <c r="G92" s="64" t="s">
        <v>374</v>
      </c>
      <c r="H92" s="620" t="s">
        <v>360</v>
      </c>
      <c r="I92" s="64" t="s">
        <v>347</v>
      </c>
      <c r="J92" s="620" t="s">
        <v>360</v>
      </c>
      <c r="K92" s="40">
        <v>1977</v>
      </c>
      <c r="L92" s="193" t="s">
        <v>434</v>
      </c>
      <c r="M92" s="652" t="str">
        <f t="shared" si="157"/>
        <v>NLĐ</v>
      </c>
      <c r="N92" s="199"/>
      <c r="O92" s="621" t="e">
        <f t="shared" si="158"/>
        <v>#N/A</v>
      </c>
      <c r="P92" s="40"/>
      <c r="Q92" s="371" t="e">
        <f>VLOOKUP(P92,'[1]- DLiêu Gốc (Không sửa)'!$C$2:$H$116,2,0)</f>
        <v>#N/A</v>
      </c>
      <c r="R92" s="40" t="s">
        <v>153</v>
      </c>
      <c r="S92" s="646" t="s">
        <v>557</v>
      </c>
      <c r="T92" s="38" t="str">
        <f>VLOOKUP(Y92,'Du lieu lien quan'!$C$2:$H$60,5,0)</f>
        <v>C</v>
      </c>
      <c r="U92" s="39" t="str">
        <f>VLOOKUP(Y92,'Du lieu lien quan'!$C$2:$H$60,6,0)</f>
        <v>Nhân viên</v>
      </c>
      <c r="V92" s="663" t="s">
        <v>425</v>
      </c>
      <c r="W92" s="370" t="str">
        <f t="shared" si="159"/>
        <v>Nhân viên</v>
      </c>
      <c r="X92" s="373" t="str">
        <f t="shared" si="160"/>
        <v>01.005</v>
      </c>
      <c r="Y92" s="397" t="s">
        <v>356</v>
      </c>
      <c r="Z92" s="397" t="str">
        <f>VLOOKUP(Y92,'Du lieu lien quan'!$C$1:$H$133,2,0)</f>
        <v>01.009</v>
      </c>
      <c r="AA92" s="52" t="str">
        <f t="shared" si="161"/>
        <v>Lương</v>
      </c>
      <c r="AB92" s="175">
        <v>11</v>
      </c>
      <c r="AC92" s="495" t="str">
        <f t="shared" si="162"/>
        <v>/</v>
      </c>
      <c r="AD92" s="208">
        <f t="shared" si="163"/>
        <v>12</v>
      </c>
      <c r="AE92" s="44">
        <f t="shared" si="164"/>
        <v>2.8</v>
      </c>
      <c r="AF92" s="409"/>
      <c r="AG92" s="409"/>
      <c r="AH92" s="485" t="s">
        <v>342</v>
      </c>
      <c r="AI92" s="493" t="s">
        <v>360</v>
      </c>
      <c r="AJ92" s="109" t="s">
        <v>342</v>
      </c>
      <c r="AK92" s="493" t="s">
        <v>360</v>
      </c>
      <c r="AL92" s="494">
        <v>2020</v>
      </c>
      <c r="AM92" s="162"/>
      <c r="AN92" s="53"/>
      <c r="AO92" s="45">
        <f>AB92+1</f>
        <v>12</v>
      </c>
      <c r="AP92" s="490" t="str">
        <f>IF(AD92=AB92,"%",IF(AD92&gt;AB92,"/"))</f>
        <v>/</v>
      </c>
      <c r="AQ92" s="87">
        <f>IF(AND(AD92=AB92,AO92=4),5,IF(AND(AD92=AB92,AO92&gt;4),AO92+1,IF(AD92&gt;AB92,AD92)))</f>
        <v>12</v>
      </c>
      <c r="AR92" s="47">
        <f>IF(AD92=AB92,"%",IF(AD92&gt;AB92,AE92+BE92))</f>
        <v>2.98</v>
      </c>
      <c r="AS92" s="413"/>
      <c r="AT92" s="48" t="s">
        <v>342</v>
      </c>
      <c r="AU92" s="484" t="s">
        <v>360</v>
      </c>
      <c r="AV92" s="49" t="s">
        <v>342</v>
      </c>
      <c r="AW92" s="484" t="s">
        <v>360</v>
      </c>
      <c r="AX92" s="50">
        <v>2022</v>
      </c>
      <c r="AY92" s="91"/>
      <c r="AZ92" s="469"/>
      <c r="BA92" s="480">
        <v>1.18</v>
      </c>
      <c r="BB92" s="51">
        <f t="shared" si="169"/>
        <v>2</v>
      </c>
      <c r="BC92" s="328">
        <f t="shared" si="170"/>
        <v>-24265</v>
      </c>
      <c r="BD92" s="280">
        <f>VLOOKUP(Y92,'Du lieu lien quan'!$C$1:$F$60,3,0)</f>
        <v>1</v>
      </c>
      <c r="BE92" s="280">
        <f>VLOOKUP(Y92,'Du lieu lien quan'!$C$1:$F$60,4,0)</f>
        <v>0.18</v>
      </c>
      <c r="BF92" s="57" t="str">
        <f t="shared" si="171"/>
        <v>o-o-o</v>
      </c>
      <c r="BG92" s="58"/>
      <c r="BH92" s="424"/>
      <c r="BI92" s="423"/>
      <c r="BJ92" s="489"/>
      <c r="BK92" s="416"/>
      <c r="BL92" s="489"/>
      <c r="BM92" s="103"/>
      <c r="BN92" s="162"/>
      <c r="BO92" s="62"/>
      <c r="BP92" s="59"/>
      <c r="BQ92" s="429"/>
      <c r="BR92" s="60"/>
      <c r="BS92" s="484"/>
      <c r="BT92" s="417"/>
      <c r="BU92" s="484"/>
      <c r="BV92" s="50"/>
      <c r="BW92" s="61"/>
      <c r="BX92" s="161"/>
      <c r="BY92" s="329" t="str">
        <f t="shared" si="172"/>
        <v>- - -</v>
      </c>
      <c r="BZ92" s="57" t="str">
        <f t="shared" si="202"/>
        <v>- - -</v>
      </c>
      <c r="CA92" s="392" t="str">
        <f t="shared" si="174"/>
        <v>Chánh Văn phòng Học viện, Trưởng Ban Tổ chức - Cán bộ, Trưởng Phân viện Học viện Hành chính Quốc gia tại Thành phố Hồ Chí Minh</v>
      </c>
      <c r="CB92" s="63" t="str">
        <f t="shared" si="175"/>
        <v>A</v>
      </c>
      <c r="CC92" s="41" t="str">
        <f>IF(AND(AO92&gt;0,AB92&lt;(AD92-1),CD92&gt;0,CD92&lt;13,OR(AND(CJ92="Cùg Ng",($CC$2-CF92)&gt;BB92),CJ92="- - -")),"Sớm TT","=&gt; s")</f>
        <v>=&gt; s</v>
      </c>
      <c r="CD92" s="52">
        <f t="shared" si="177"/>
        <v>24277</v>
      </c>
      <c r="CE92" s="35" t="str">
        <f t="shared" si="178"/>
        <v>---</v>
      </c>
      <c r="CF92" s="35"/>
      <c r="CG92" s="379"/>
      <c r="CH92" s="35"/>
      <c r="CI92" s="35"/>
      <c r="CJ92" s="35" t="str">
        <f t="shared" si="179"/>
        <v>- - -</v>
      </c>
      <c r="CK92" s="55" t="str">
        <f t="shared" si="180"/>
        <v>- - -</v>
      </c>
      <c r="CL92" s="65"/>
      <c r="CM92" s="66"/>
      <c r="CN92" s="65"/>
      <c r="CO92" s="84"/>
      <c r="CP92" s="55" t="str">
        <f t="shared" si="181"/>
        <v>- - -</v>
      </c>
      <c r="CQ92" s="65"/>
      <c r="CR92" s="66"/>
      <c r="CS92" s="65"/>
      <c r="CT92" s="84"/>
      <c r="CU92" s="69" t="str">
        <f t="shared" si="182"/>
        <v>---</v>
      </c>
      <c r="CV92" s="70" t="str">
        <f t="shared" si="183"/>
        <v>/-/ /-/</v>
      </c>
      <c r="CW92" s="67">
        <f t="shared" si="184"/>
        <v>4</v>
      </c>
      <c r="CX92" s="68">
        <f t="shared" si="185"/>
        <v>2032</v>
      </c>
      <c r="CY92" s="67">
        <f t="shared" si="186"/>
        <v>1</v>
      </c>
      <c r="CZ92" s="68">
        <f t="shared" si="187"/>
        <v>2032</v>
      </c>
      <c r="DA92" s="67">
        <f t="shared" si="188"/>
        <v>10</v>
      </c>
      <c r="DB92" s="68">
        <f t="shared" si="189"/>
        <v>2031</v>
      </c>
      <c r="DC92" s="71" t="str">
        <f t="shared" si="190"/>
        <v>- - -</v>
      </c>
      <c r="DD92" s="72" t="str">
        <f t="shared" si="191"/>
        <v>. .</v>
      </c>
      <c r="DE92" s="72"/>
      <c r="DF92" s="52">
        <f t="shared" si="192"/>
        <v>660</v>
      </c>
      <c r="DG92" s="52">
        <f t="shared" si="193"/>
        <v>-23715</v>
      </c>
      <c r="DH92" s="52">
        <f t="shared" si="194"/>
        <v>-1977</v>
      </c>
      <c r="DI92" s="52" t="str">
        <f t="shared" si="195"/>
        <v>Nữ dưới 30</v>
      </c>
      <c r="DJ92" s="52"/>
      <c r="DK92" s="52"/>
      <c r="DL92" s="57" t="str">
        <f t="shared" si="196"/>
        <v>Đến 30</v>
      </c>
      <c r="DM92" s="65" t="str">
        <f t="shared" si="197"/>
        <v>--</v>
      </c>
      <c r="DN92" s="36"/>
      <c r="DO92" s="35"/>
      <c r="DP92" s="56"/>
      <c r="DQ92" s="84"/>
      <c r="DR92" s="84"/>
      <c r="DS92" s="85"/>
      <c r="DT92" s="86"/>
      <c r="DU92" s="76"/>
      <c r="DV92" s="91"/>
      <c r="DW92" s="37" t="s">
        <v>153</v>
      </c>
      <c r="DX92" s="391" t="s">
        <v>416</v>
      </c>
      <c r="DY92" s="37" t="s">
        <v>368</v>
      </c>
      <c r="DZ92" s="48" t="s">
        <v>342</v>
      </c>
      <c r="EA92" s="49" t="s">
        <v>360</v>
      </c>
      <c r="EB92" s="49" t="s">
        <v>342</v>
      </c>
      <c r="EC92" s="49" t="s">
        <v>360</v>
      </c>
      <c r="ED92" s="77">
        <v>2014</v>
      </c>
      <c r="EE92" s="49">
        <f t="shared" si="198"/>
        <v>0</v>
      </c>
      <c r="EF92" s="78" t="str">
        <f t="shared" si="199"/>
        <v>- - -</v>
      </c>
      <c r="EG92" s="48" t="s">
        <v>342</v>
      </c>
      <c r="EH92" s="49" t="s">
        <v>360</v>
      </c>
      <c r="EI92" s="49" t="s">
        <v>342</v>
      </c>
      <c r="EJ92" s="49" t="s">
        <v>360</v>
      </c>
      <c r="EK92" s="77">
        <v>2014</v>
      </c>
      <c r="EL92" s="35"/>
      <c r="EM92" s="55" t="str">
        <f>IF(AND(BE92&gt;0.34,AO92=1,OR(BD92=6.2,BD92=5.75)),((BD92-EL92)-2*0.34),IF(AND(BE92&gt;0.33,AO92=1,OR(BD92=4.4,BD92=4)),((BD92-EL92)-2*0.33),"- - -"))</f>
        <v>- - -</v>
      </c>
      <c r="EN92" s="79" t="str">
        <f t="shared" si="201"/>
        <v>---</v>
      </c>
      <c r="EO92" s="91"/>
      <c r="EP92" s="80"/>
      <c r="EQ92" s="80"/>
      <c r="ER92" s="80"/>
      <c r="ES92" s="80"/>
      <c r="ET92" s="80"/>
      <c r="EU92" s="80"/>
      <c r="EV92" s="80"/>
      <c r="EW92" s="80"/>
      <c r="EX92" s="80"/>
      <c r="EY92" s="80"/>
      <c r="EZ92" s="80"/>
      <c r="FA92" s="80"/>
      <c r="FB92" s="80"/>
      <c r="FC92" s="80"/>
      <c r="FD92" s="80"/>
      <c r="FE92" s="80"/>
      <c r="FF92" s="80"/>
      <c r="FG92" s="80"/>
      <c r="FH92" s="80"/>
      <c r="FI92" s="80"/>
      <c r="FJ92" s="80"/>
      <c r="FK92" s="80"/>
      <c r="FL92" s="80"/>
      <c r="FM92" s="80"/>
      <c r="FN92" s="238"/>
      <c r="FO92" s="238"/>
      <c r="FP92" s="238"/>
      <c r="FQ92" s="238"/>
      <c r="FR92" s="238"/>
    </row>
    <row r="93" spans="1:174" s="80" customFormat="1" ht="11.25" customHeight="1" x14ac:dyDescent="0.2">
      <c r="A93" s="326"/>
      <c r="B93" s="517">
        <v>29</v>
      </c>
      <c r="C93" s="543"/>
      <c r="D93" s="649" t="str">
        <f t="shared" si="156"/>
        <v>Ông</v>
      </c>
      <c r="E93" s="40" t="s">
        <v>609</v>
      </c>
      <c r="F93" s="35" t="s">
        <v>379</v>
      </c>
      <c r="G93" s="879" t="s">
        <v>401</v>
      </c>
      <c r="H93" s="35" t="s">
        <v>360</v>
      </c>
      <c r="I93" s="879">
        <v>7</v>
      </c>
      <c r="J93" s="1258" t="s">
        <v>360</v>
      </c>
      <c r="K93" s="879">
        <v>1983</v>
      </c>
      <c r="L93" s="193" t="s">
        <v>452</v>
      </c>
      <c r="M93" s="652" t="str">
        <f t="shared" si="157"/>
        <v>VC</v>
      </c>
      <c r="N93" s="546"/>
      <c r="O93" s="544"/>
      <c r="P93" s="544"/>
      <c r="Q93" s="326"/>
      <c r="R93" s="40" t="s">
        <v>625</v>
      </c>
      <c r="S93" s="2182" t="s">
        <v>560</v>
      </c>
      <c r="T93" s="186" t="str">
        <f>VLOOKUP(Y93,'Du lieu lien quan'!$C$2:$H$60,5,0)</f>
        <v>A1</v>
      </c>
      <c r="U93" s="187" t="str">
        <f>VLOOKUP(Y93,'Du lieu lien quan'!$C$2:$H$60,6,0)</f>
        <v>- - -</v>
      </c>
      <c r="V93" s="663" t="s">
        <v>361</v>
      </c>
      <c r="W93" s="370" t="str">
        <f t="shared" si="159"/>
        <v>Chuyên viên</v>
      </c>
      <c r="X93" s="373" t="str">
        <f t="shared" si="160"/>
        <v>01.003</v>
      </c>
      <c r="Y93" s="397" t="s">
        <v>340</v>
      </c>
      <c r="Z93" s="397" t="str">
        <f>VLOOKUP(Y93,'Du lieu lien quan'!$C$1:$H$133,2,0)</f>
        <v>01.003</v>
      </c>
      <c r="AA93" s="52" t="str">
        <f t="shared" si="161"/>
        <v>Lương</v>
      </c>
      <c r="AB93" s="875">
        <v>3</v>
      </c>
      <c r="AC93" s="495" t="str">
        <f t="shared" si="162"/>
        <v>/</v>
      </c>
      <c r="AD93" s="43">
        <f t="shared" si="163"/>
        <v>9</v>
      </c>
      <c r="AE93" s="54">
        <f t="shared" si="164"/>
        <v>3</v>
      </c>
      <c r="AF93" s="555"/>
      <c r="AG93" s="555"/>
      <c r="AH93" s="1257" t="s">
        <v>342</v>
      </c>
      <c r="AI93" s="1256" t="s">
        <v>360</v>
      </c>
      <c r="AJ93" s="1256" t="s">
        <v>342</v>
      </c>
      <c r="AK93" s="1256"/>
      <c r="AL93" s="50">
        <v>2019</v>
      </c>
      <c r="AM93" s="557"/>
      <c r="AN93" s="558"/>
      <c r="AO93" s="45">
        <f>AB93+1</f>
        <v>4</v>
      </c>
      <c r="AP93" s="498" t="s">
        <v>360</v>
      </c>
      <c r="AQ93" s="87">
        <f>IF(AND(AD93=AB93,AO93=4),5,IF(AND(AD93=AB93,AO93&gt;4),AO93+1,IF(AD93&gt;AB93,AD93)))</f>
        <v>9</v>
      </c>
      <c r="AR93" s="47">
        <f>IF(AD93=AB93,"%",IF(AD93&gt;AB93,AE93+BE93))</f>
        <v>3.33</v>
      </c>
      <c r="AS93" s="561"/>
      <c r="AT93" s="1257" t="s">
        <v>342</v>
      </c>
      <c r="AU93" s="1256" t="s">
        <v>360</v>
      </c>
      <c r="AV93" s="1261" t="s">
        <v>342</v>
      </c>
      <c r="AW93" s="1256"/>
      <c r="AX93" s="50">
        <v>2022</v>
      </c>
      <c r="AY93" s="2198"/>
      <c r="AZ93" s="1262" t="s">
        <v>626</v>
      </c>
      <c r="BA93" s="566"/>
      <c r="BB93" s="656">
        <f t="shared" si="169"/>
        <v>3</v>
      </c>
      <c r="BC93" s="328">
        <f t="shared" si="170"/>
        <v>-24265</v>
      </c>
      <c r="BD93" s="280">
        <f>VLOOKUP(Y93,'Du lieu lien quan'!$C$1:$F$60,3,0)</f>
        <v>2.34</v>
      </c>
      <c r="BE93" s="280">
        <f>VLOOKUP(Y93,'Du lieu lien quan'!$C$1:$F$60,4,0)</f>
        <v>0.33</v>
      </c>
      <c r="BF93" s="216" t="str">
        <f t="shared" si="171"/>
        <v>o-o-o</v>
      </c>
      <c r="BG93" s="572"/>
      <c r="BH93" s="573"/>
      <c r="BI93" s="574"/>
      <c r="BJ93" s="575"/>
      <c r="BK93" s="576"/>
      <c r="BL93" s="575"/>
      <c r="BM93" s="545"/>
      <c r="BN93" s="577"/>
      <c r="BO93" s="547"/>
      <c r="BP93" s="578"/>
      <c r="BQ93" s="257"/>
      <c r="BR93" s="579"/>
      <c r="BS93" s="575"/>
      <c r="BT93" s="580"/>
      <c r="BU93" s="575"/>
      <c r="BV93" s="545"/>
      <c r="BW93" s="581"/>
      <c r="BX93" s="582"/>
      <c r="BY93" s="584"/>
      <c r="BZ93" s="586"/>
      <c r="CA93" s="587"/>
      <c r="CB93" s="28"/>
      <c r="CC93" s="589"/>
      <c r="CD93" s="30"/>
      <c r="CE93" s="543"/>
      <c r="CF93" s="543"/>
      <c r="CG93" s="516"/>
      <c r="CH93" s="543"/>
      <c r="CI93" s="586"/>
      <c r="CJ93" s="543"/>
      <c r="CK93" s="590"/>
      <c r="CL93" s="591"/>
      <c r="CM93" s="592"/>
      <c r="CN93" s="593"/>
      <c r="CO93" s="594"/>
      <c r="CP93" s="590"/>
      <c r="CQ93" s="591"/>
      <c r="CR93" s="592"/>
      <c r="CS93" s="593"/>
      <c r="CT93" s="594"/>
      <c r="CU93" s="561"/>
      <c r="CV93" s="595"/>
      <c r="CW93" s="597"/>
      <c r="CX93" s="598"/>
      <c r="CY93" s="599"/>
      <c r="CZ93" s="600"/>
      <c r="DA93" s="601"/>
      <c r="DB93" s="602"/>
      <c r="DC93" s="603"/>
      <c r="DD93" s="604"/>
      <c r="DE93" s="606"/>
      <c r="DF93" s="608"/>
      <c r="DG93" s="327"/>
      <c r="DH93" s="327"/>
      <c r="DI93" s="327"/>
      <c r="DJ93" s="2199"/>
      <c r="DK93" s="327"/>
      <c r="DL93" s="32"/>
      <c r="DM93" s="609"/>
      <c r="DN93" s="610"/>
      <c r="DO93" s="408"/>
      <c r="DP93" s="611"/>
      <c r="DQ93" s="610"/>
      <c r="DR93" s="612"/>
      <c r="DS93" s="613"/>
      <c r="DT93" s="155"/>
      <c r="DU93" s="29"/>
      <c r="DV93" s="257"/>
      <c r="DW93" s="548"/>
      <c r="DX93" s="549"/>
      <c r="DY93" s="548"/>
      <c r="DZ93" s="562"/>
      <c r="EA93" s="564"/>
      <c r="EB93" s="615"/>
      <c r="EC93" s="615"/>
      <c r="ED93" s="616"/>
      <c r="EE93" s="617"/>
      <c r="EF93" s="618"/>
      <c r="EG93" s="562"/>
      <c r="EH93" s="564"/>
      <c r="EI93" s="615"/>
      <c r="EJ93" s="615"/>
      <c r="EK93" s="616"/>
      <c r="EL93" s="586"/>
      <c r="EM93" s="543"/>
      <c r="EN93" s="31"/>
      <c r="EO93" s="565"/>
      <c r="EP93" s="619"/>
      <c r="EQ93" s="619"/>
      <c r="ER93" s="619"/>
      <c r="ES93" s="619"/>
      <c r="ET93" s="619"/>
      <c r="EU93" s="619"/>
      <c r="EV93" s="619"/>
      <c r="EW93" s="619"/>
      <c r="EX93" s="619"/>
      <c r="EY93" s="619"/>
      <c r="EZ93" s="619"/>
      <c r="FA93" s="619"/>
      <c r="FB93" s="619"/>
      <c r="FC93" s="619"/>
      <c r="FD93" s="619"/>
      <c r="FE93" s="619"/>
      <c r="FF93" s="619"/>
      <c r="FG93" s="619"/>
      <c r="FH93" s="619"/>
      <c r="FI93" s="619"/>
      <c r="FJ93" s="619"/>
      <c r="FK93" s="619"/>
      <c r="FL93" s="619"/>
      <c r="FM93" s="619"/>
      <c r="FN93" s="619"/>
      <c r="FO93" s="619"/>
      <c r="FP93" s="619"/>
      <c r="FQ93" s="619"/>
      <c r="FR93" s="619"/>
    </row>
    <row r="94" spans="1:174" s="80" customFormat="1" ht="11.25" customHeight="1" x14ac:dyDescent="0.2">
      <c r="A94" s="1274"/>
      <c r="B94" s="371">
        <v>30</v>
      </c>
      <c r="C94" s="1275"/>
      <c r="D94" s="35" t="str">
        <f t="shared" si="156"/>
        <v>Ông</v>
      </c>
      <c r="E94" s="1276" t="s">
        <v>614</v>
      </c>
      <c r="F94" s="35" t="s">
        <v>379</v>
      </c>
      <c r="G94" s="1278">
        <v>17</v>
      </c>
      <c r="H94" s="620" t="s">
        <v>360</v>
      </c>
      <c r="I94" s="1277">
        <v>9</v>
      </c>
      <c r="J94" s="620" t="s">
        <v>360</v>
      </c>
      <c r="K94" s="1276">
        <v>1974</v>
      </c>
      <c r="L94" s="193" t="s">
        <v>452</v>
      </c>
      <c r="M94" s="652" t="str">
        <f t="shared" si="157"/>
        <v>VC</v>
      </c>
      <c r="N94" s="1276"/>
      <c r="O94" s="621" t="e">
        <f>IF(AND((Q94+0)&gt;0.3,(Q94+0)&lt;1.5),"CVụ","- -")</f>
        <v>#VALUE!</v>
      </c>
      <c r="P94" s="1276" t="s">
        <v>245</v>
      </c>
      <c r="Q94" s="371" t="str">
        <f>VLOOKUP(P94,'[1]- DLiêu Gốc (Không sửa)'!$C$2:$H$116,2,0)</f>
        <v>1,0</v>
      </c>
      <c r="R94" s="1276"/>
      <c r="S94" s="1277" t="s">
        <v>558</v>
      </c>
      <c r="T94" s="38" t="str">
        <f>VLOOKUP(Y94,'Du lieu lien quan'!$C$2:$H$60,5,0)</f>
        <v>A3</v>
      </c>
      <c r="U94" s="39" t="str">
        <f>VLOOKUP(Y94,'Du lieu lien quan'!$C$2:$H$60,6,0)</f>
        <v>A3.1</v>
      </c>
      <c r="V94" s="663" t="s">
        <v>425</v>
      </c>
      <c r="W94" s="370" t="str">
        <f t="shared" si="159"/>
        <v>Chuyên viên cao cấp</v>
      </c>
      <c r="X94" s="373" t="str">
        <f t="shared" si="160"/>
        <v>01.001</v>
      </c>
      <c r="Y94" s="397" t="s">
        <v>354</v>
      </c>
      <c r="Z94" s="397" t="str">
        <f>VLOOKUP(Y94,'Du lieu lien quan'!$C$1:$H$133,2,0)</f>
        <v>01.001</v>
      </c>
      <c r="AA94" s="52" t="str">
        <f t="shared" si="161"/>
        <v>Lương</v>
      </c>
      <c r="AB94" s="175">
        <v>3</v>
      </c>
      <c r="AC94" s="495" t="str">
        <f t="shared" si="162"/>
        <v>/</v>
      </c>
      <c r="AD94" s="43">
        <f t="shared" si="163"/>
        <v>6</v>
      </c>
      <c r="AE94" s="44">
        <f t="shared" si="164"/>
        <v>6.92</v>
      </c>
      <c r="AF94" s="409"/>
      <c r="AG94" s="409"/>
      <c r="AH94" s="485" t="s">
        <v>342</v>
      </c>
      <c r="AI94" s="493" t="s">
        <v>360</v>
      </c>
      <c r="AJ94" s="109" t="s">
        <v>342</v>
      </c>
      <c r="AK94" s="493" t="s">
        <v>360</v>
      </c>
      <c r="AL94" s="876">
        <v>2019</v>
      </c>
      <c r="AM94" s="162"/>
      <c r="AN94" s="53"/>
      <c r="AO94" s="45">
        <f>AB94+1</f>
        <v>4</v>
      </c>
      <c r="AP94" s="490" t="str">
        <f>IF(AD94=AB94,"%",IF(AD94&gt;AB94,"/"))</f>
        <v>/</v>
      </c>
      <c r="AQ94" s="87">
        <f>IF(AND(AD94=AB94,AO94=4),5,IF(AND(AD94=AB94,AO94&gt;4),AO94+1,IF(AD94&gt;AB94,AD94)))</f>
        <v>6</v>
      </c>
      <c r="AR94" s="47">
        <f>IF(AD94=AB94,"%",IF(AD94&gt;AB94,AE94+BE94))</f>
        <v>7.28</v>
      </c>
      <c r="AS94" s="413"/>
      <c r="AT94" s="48" t="s">
        <v>342</v>
      </c>
      <c r="AU94" s="484" t="s">
        <v>360</v>
      </c>
      <c r="AV94" s="49" t="s">
        <v>342</v>
      </c>
      <c r="AW94" s="484" t="s">
        <v>360</v>
      </c>
      <c r="AX94" s="50">
        <v>2022</v>
      </c>
      <c r="AY94" s="523"/>
      <c r="AZ94" s="266"/>
      <c r="BA94" s="480"/>
      <c r="BB94" s="51">
        <f t="shared" si="169"/>
        <v>3</v>
      </c>
      <c r="BC94" s="328">
        <f t="shared" si="170"/>
        <v>-24265</v>
      </c>
      <c r="BD94" s="280">
        <f>VLOOKUP(Y94,'Du lieu lien quan'!$C$1:$F$60,3,0)</f>
        <v>6.2</v>
      </c>
      <c r="BE94" s="280">
        <f>VLOOKUP(Y94,'Du lieu lien quan'!$C$1:$F$60,4,0)</f>
        <v>0.36</v>
      </c>
      <c r="BF94" s="57" t="str">
        <f t="shared" si="171"/>
        <v>o-o-o</v>
      </c>
      <c r="BG94" s="58"/>
      <c r="BH94" s="424"/>
      <c r="BI94" s="423"/>
      <c r="BJ94" s="489"/>
      <c r="BK94" s="416"/>
      <c r="BL94" s="489"/>
      <c r="BM94" s="103"/>
      <c r="BN94" s="162"/>
      <c r="BO94" s="62"/>
      <c r="BP94" s="59"/>
      <c r="BQ94" s="429"/>
      <c r="BR94" s="60"/>
      <c r="BS94" s="484"/>
      <c r="BT94" s="417"/>
      <c r="BU94" s="484"/>
      <c r="BV94" s="50"/>
      <c r="BW94" s="61"/>
      <c r="BX94" s="161"/>
      <c r="BY94" s="329" t="str">
        <f>IF(BG94&gt;3,(($BF$2-BV94)*12+($BF$3-BT94)-BN94),"- - -")</f>
        <v>- - -</v>
      </c>
      <c r="BZ94" s="57" t="str">
        <f>IF(AND(CV94="Hưu",BG94&gt;3),12-(12*(DB94-BV94)+(DA94-BT94))-BN94,"- - -")</f>
        <v>- - -</v>
      </c>
      <c r="CA94" s="392" t="str">
        <f>IF(OR(S94="Ban Tổ chức - Cán bộ",S94="Văn phòng Học viện",S94="Phó Giám đốc Thường trực Học viện",S94="Phó Giám đốc Học viện"),"Chánh Văn phòng Học viện, Trưởng Ban Tổ chức - Cán bộ",IF(OR(S94="Trung tâm Ngoại ngữ",S94="Trung tâm Tin học hành chính và Công nghệ thông tin",S94="Trung tâm Tin học - Thư viện",S94="Phân viện khu vực Tây Nguyên"),"Chánh Văn phòng Học viện, Trưởng Ban Tổ chức - Cán bộ, "&amp;CONCATENATE("Giám đốc ",S94),IF(S94="Tạp chí Quản lý nhà nước","Chánh Văn phòng Học viện, Trưởng Ban Tổ chức - Cán bộ, "&amp;CONCATENATE("Tổng Biên tập ",S94),IF(S94="Văn phòng Đảng uỷ Học viện","Chánh Văn phòng Học viện, Trưởng Ban Tổ chức - Cán bộ, "&amp;CONCATENATE("Chánh",S94),IF(S94="Viện Nghiên cứu Khoa học hành chính","Chánh Văn phòng Học viện, Trưởng Ban Tổ chức - Cán bộ, "&amp;CONCATENATE("Viện Trưởng ",S94),IF(OR(S94="Cơ sở Học viện Hành chính Quốc gia khu vực miền Trung",S94="Cơ sở Học viện Hành chính Quốc gia tại Thành phố Hồ Chí Minh"),"Chánh Văn phòng Học viện, Trưởng Ban Tổ chức - Cán bộ, "&amp;CONCATENATE("Thủ trưởng ",S94),"Chánh Văn phòng Học viện, Trưởng Ban Tổ chức - Cán bộ, "&amp;CONCATENATE("Trưởng ",S94)))))))</f>
        <v>Chánh Văn phòng Học viện, Trưởng Ban Tổ chức - Cán bộ, Trưởng Ban Kế hoạch - Tài chính</v>
      </c>
      <c r="CB94" s="63" t="str">
        <f>IF(S94="Cơ sở Học viện Hành chính khu vực miền Trung","B",IF(S94="Phân viện Khu vực Tây Nguyên","C",IF(S94="Cơ sở Học viện Hành chính tại thành phố Hồ Chí Minh","D","A")))</f>
        <v>A</v>
      </c>
      <c r="CC94" s="41" t="str">
        <f>IF(AND(AO94&gt;0,AB94&lt;(AD94-1),CD94&gt;0,CD94&lt;13,OR(AND(CJ94="Cùg Ng",($CC$2-CF94)&gt;BB94),CJ94="- - -")),"Sớm TT","=&gt; s")</f>
        <v>=&gt; s</v>
      </c>
      <c r="CD94" s="52">
        <f>IF(BB94=3,36-(12*($CC$2-AX94)+(12-AV94)-AM94),IF(BB94=2,24-(12*($CC$2-AX94)+(12-AV94)-AM94),"---"))</f>
        <v>24289</v>
      </c>
      <c r="CE94" s="35" t="str">
        <f>IF(CF94&gt;1,"S","---")</f>
        <v>S</v>
      </c>
      <c r="CF94" s="35">
        <v>2007</v>
      </c>
      <c r="CG94" s="379" t="s">
        <v>168</v>
      </c>
      <c r="CH94" s="35"/>
      <c r="CI94" s="35"/>
      <c r="CJ94" s="35" t="str">
        <f>IF(X94=CG94,"Cùg Ng","- - -")</f>
        <v>- - -</v>
      </c>
      <c r="CK94" s="55" t="str">
        <f>IF(CM94&gt;2000,"NN","- - -")</f>
        <v>NN</v>
      </c>
      <c r="CL94" s="65">
        <v>1</v>
      </c>
      <c r="CM94" s="66">
        <v>2013</v>
      </c>
      <c r="CN94" s="65"/>
      <c r="CO94" s="84"/>
      <c r="CP94" s="55" t="str">
        <f>IF(CR94&gt;2000,"CN","- - -")</f>
        <v>- - -</v>
      </c>
      <c r="CQ94" s="65"/>
      <c r="CR94" s="182"/>
      <c r="CS94" s="65"/>
      <c r="CT94" s="84"/>
      <c r="CU94" s="69" t="str">
        <f>IF(AND(CV94="Hưu",AB94&lt;(AD94-1),DC94&gt;0,DC94&lt;18,OR(BG94&lt;4,AND(BG94&gt;3,OR(BZ94&lt;3,BZ94&gt;5)))),"Lg Sớm",IF(AND(CV94="Hưu",AB94&gt;(AD94-2),OR(BE94=0.33,BE94=0.34),OR(BG94&lt;4,AND(BG94&gt;3,OR(BZ94&lt;3,BZ94&gt;5)))),"Nâng Ngạch",IF(AND(CV94="Hưu",BB94=1,DC94&gt;2,DC94&lt;6,OR(BG94&lt;4,AND(BG94&gt;3,OR(BZ94&lt;3,BZ94&gt;5)))),"Nâng PcVK cùng QĐ",IF(AND(CV94="Hưu",BG94&gt;3,BZ94&gt;2,BZ94&lt;6,AB94&lt;(AD94-1),DC94&gt;17,OR(BB94&gt;1,AND(BB94=1,OR(DC94&lt;3,DC94&gt;5)))),"Nâng PcNG cùng QĐ",IF(AND(CV94="Hưu",AB94&lt;(AD94-1),DC94&gt;0,DC94&lt;18,BG94&gt;3,BZ94&gt;2,BZ94&lt;6),"Nâng Lg Sớm +(PcNG cùng QĐ)",IF(AND(CV94="Hưu",AB94&gt;(AD94-2),OR(BE94=0.33,BE94=0.34),BG94&gt;3,BZ94&gt;2,BZ94&lt;6),"Nâng Ngạch +(PcNG cùng QĐ)",IF(AND(CV94="Hưu",BB94=1,DC94&gt;2,DC94&lt;6,BG94&gt;3,BZ94&gt;2,BZ94&lt;6),"Nâng (PcVK +PcNG) cùng QĐ",("---"))))))))</f>
        <v>---</v>
      </c>
      <c r="CV94" s="70" t="str">
        <f>IF(AND(DG94&gt;DF94,DG94&lt;(DF94+13)),"Hưu",IF(AND(DG94&gt;(DF94+12),DG94&lt;1000),"Quá","/-/ /-/"))</f>
        <v>/-/ /-/</v>
      </c>
      <c r="CW94" s="67">
        <f>IF((I94+0)&lt;12,(I94+0)+1,IF((I94+0)=12,1,IF((I94+0)&gt;12,(I94+0)-12)))</f>
        <v>10</v>
      </c>
      <c r="CX94" s="68">
        <f>IF(OR((I94+0)=12,(I94+0)&gt;12),K94+DF94/12+1,IF(AND((I94+0)&gt;0,(I94+0)&lt;12),K94+DF94/12,"---"))</f>
        <v>2034</v>
      </c>
      <c r="CY94" s="67">
        <f>IF(AND(CW94&gt;3,CW94&lt;13),CW94-3,IF(CW94&lt;4,CW94-3+12))</f>
        <v>7</v>
      </c>
      <c r="CZ94" s="68">
        <f>IF(CY94&lt;CW94,CX94,IF(CY94&gt;CW94,CX94-1))</f>
        <v>2034</v>
      </c>
      <c r="DA94" s="67">
        <f>IF(CW94&gt;6,CW94-6,IF(CW94=6,12,IF(CW94&lt;6,CW94+6)))</f>
        <v>4</v>
      </c>
      <c r="DB94" s="68">
        <f>IF(CW94&gt;6,CX94,IF(CW94&lt;7,CX94-1))</f>
        <v>2034</v>
      </c>
      <c r="DC94" s="71" t="str">
        <f>IF(AND(CV94="Hưu",BB94=3),36+AM94-(12*(DB94-AX94)+(DA94-AV94)),IF(AND(CV94="Hưu",BB94=2),24+AM94-(12*(DB94-AX94)+(DA94-AV94)),IF(AND(CV94="Hưu",BB94=1),12+AM94-(12*(DB94-AX94)+(DA94-AV94)),"- - -")))</f>
        <v>- - -</v>
      </c>
      <c r="DD94" s="72" t="str">
        <f>IF(DE94&gt;0,"K.Dài",". .")</f>
        <v>. .</v>
      </c>
      <c r="DE94" s="72"/>
      <c r="DF94" s="52">
        <f>IF(F94="Nam",(60+DE94)*12,IF(F94="Nữ",(55+DE94)*12,))</f>
        <v>720</v>
      </c>
      <c r="DG94" s="52">
        <f>12*($CV$4-K94)+(12-I94)</f>
        <v>-23685</v>
      </c>
      <c r="DH94" s="52">
        <f>$DL$4-K94</f>
        <v>-1974</v>
      </c>
      <c r="DI94" s="52" t="str">
        <f>IF(AND(DH94&lt;35,F94="Nam"),"Nam dưới 35",IF(AND(DH94&lt;30,F94="Nữ"),"Nữ dưới 30",IF(AND(DH94&gt;34,DH94&lt;46,F94="Nam"),"Nam từ 35 - 45",IF(AND(DH94&gt;29,DH94&lt;41,F94="Nữ"),"Nữ từ 30 - 40",IF(AND(DH94&gt;45,DH94&lt;56,F94="Nam"),"Nam trên 45 - 55",IF(AND(DH94&gt;40,DH94&lt;51,F94="Nữ"),"Nữ trên 40 - 50",IF(AND(DH94&gt;55,F94="Nam"),"Nam trên 55","Nữ trên 50")))))))</f>
        <v>Nam dưới 35</v>
      </c>
      <c r="DJ94" s="52"/>
      <c r="DK94" s="52"/>
      <c r="DL94" s="57" t="str">
        <f>IF(DH94&lt;31,"Đến 30",IF(AND(DH94&gt;30,DH94&lt;46),"31 - 45",IF(AND(DH94&gt;45,DH94&lt;70),"Trên 45")))</f>
        <v>Đến 30</v>
      </c>
      <c r="DM94" s="65" t="str">
        <f>IF(DN94&gt;0,"TD","--")</f>
        <v>--</v>
      </c>
      <c r="DN94" s="36"/>
      <c r="DO94" s="95"/>
      <c r="DP94" s="56"/>
      <c r="DQ94" s="84"/>
      <c r="DR94" s="36"/>
      <c r="DS94" s="74"/>
      <c r="DT94" s="40"/>
      <c r="DU94" s="76"/>
      <c r="DV94" s="91"/>
      <c r="DW94" s="37" t="s">
        <v>76</v>
      </c>
      <c r="DX94" s="391" t="s">
        <v>125</v>
      </c>
      <c r="DY94" s="37" t="s">
        <v>76</v>
      </c>
      <c r="DZ94" s="48" t="s">
        <v>342</v>
      </c>
      <c r="EA94" s="49" t="s">
        <v>360</v>
      </c>
      <c r="EB94" s="49" t="s">
        <v>342</v>
      </c>
      <c r="EC94" s="49" t="s">
        <v>360</v>
      </c>
      <c r="ED94" s="77">
        <v>2013</v>
      </c>
      <c r="EE94" s="49">
        <f>(DZ94+0)-(EG94+0)</f>
        <v>0</v>
      </c>
      <c r="EF94" s="78" t="str">
        <f>IF(EE94&gt;0,"Sửa","- - -")</f>
        <v>- - -</v>
      </c>
      <c r="EG94" s="48" t="s">
        <v>342</v>
      </c>
      <c r="EH94" s="49" t="s">
        <v>360</v>
      </c>
      <c r="EI94" s="49" t="s">
        <v>342</v>
      </c>
      <c r="EJ94" s="49" t="s">
        <v>360</v>
      </c>
      <c r="EK94" s="77">
        <v>2013</v>
      </c>
      <c r="EL94" s="64" t="s">
        <v>146</v>
      </c>
      <c r="EM94" s="55" t="str">
        <f>IF(AND(BE94&gt;0.34,AO94=1,OR(BD94=6.2,BD94=5.75)),((BD94-EL94)-2*0.34),IF(AND(BE94&gt;0.33,AO94=1,OR(BD94=4.4,BD94=4)),((BD94-EL94)-2*0.33),"- - -"))</f>
        <v>- - -</v>
      </c>
      <c r="EN94" s="79" t="str">
        <f>IF(CV94="Hưu",12*(DB94-AX94)+(DA94-AV94),"---")</f>
        <v>---</v>
      </c>
      <c r="EO94" s="91"/>
      <c r="EP94" s="2181"/>
      <c r="EQ94" s="2181"/>
      <c r="ER94" s="2181"/>
      <c r="ES94" s="2181"/>
      <c r="ET94" s="2181"/>
      <c r="EU94" s="2181"/>
      <c r="EV94" s="2181"/>
      <c r="EW94" s="2181"/>
      <c r="EX94" s="2181"/>
      <c r="EY94" s="2181"/>
      <c r="EZ94" s="2181"/>
      <c r="FA94" s="2181"/>
      <c r="FB94" s="2181"/>
      <c r="FC94" s="2181"/>
      <c r="FD94" s="2181"/>
      <c r="FE94" s="2181"/>
      <c r="FF94" s="2181"/>
      <c r="FG94" s="2181"/>
      <c r="FH94" s="2181"/>
      <c r="FI94" s="2181"/>
      <c r="FJ94" s="2181"/>
      <c r="FK94" s="2181"/>
      <c r="FL94" s="2181"/>
      <c r="FM94" s="2181"/>
      <c r="FN94" s="2181"/>
      <c r="FO94" s="2181"/>
      <c r="FP94" s="2181"/>
      <c r="FQ94" s="2181"/>
      <c r="FR94" s="2181"/>
    </row>
    <row r="95" spans="1:174" s="680" customFormat="1" ht="11.25" customHeight="1" x14ac:dyDescent="0.25">
      <c r="A95" s="101">
        <v>591</v>
      </c>
      <c r="B95" s="517">
        <v>20</v>
      </c>
      <c r="C95" s="35"/>
      <c r="D95" s="35" t="s">
        <v>143</v>
      </c>
      <c r="E95" s="40" t="s">
        <v>436</v>
      </c>
      <c r="F95" s="35" t="s">
        <v>379</v>
      </c>
      <c r="G95" s="64" t="s">
        <v>275</v>
      </c>
      <c r="H95" s="620" t="s">
        <v>360</v>
      </c>
      <c r="I95" s="64" t="s">
        <v>344</v>
      </c>
      <c r="J95" s="620" t="s">
        <v>360</v>
      </c>
      <c r="K95" s="40">
        <v>1980</v>
      </c>
      <c r="L95" s="193" t="s">
        <v>452</v>
      </c>
      <c r="M95" s="652" t="s">
        <v>457</v>
      </c>
      <c r="N95" s="199"/>
      <c r="O95" s="621" t="s">
        <v>305</v>
      </c>
      <c r="P95" s="40"/>
      <c r="Q95" s="371">
        <v>0</v>
      </c>
      <c r="R95" s="40" t="s">
        <v>623</v>
      </c>
      <c r="S95" s="646" t="s">
        <v>560</v>
      </c>
      <c r="T95" s="38" t="s">
        <v>105</v>
      </c>
      <c r="U95" s="39" t="s">
        <v>216</v>
      </c>
      <c r="V95" s="663" t="s">
        <v>425</v>
      </c>
      <c r="W95" s="370" t="s">
        <v>340</v>
      </c>
      <c r="X95" s="98" t="s">
        <v>169</v>
      </c>
      <c r="Y95" s="397" t="s">
        <v>340</v>
      </c>
      <c r="Z95" s="397" t="s">
        <v>169</v>
      </c>
      <c r="AA95" s="52" t="s">
        <v>410</v>
      </c>
      <c r="AB95" s="175">
        <v>4</v>
      </c>
      <c r="AC95" s="495" t="s">
        <v>360</v>
      </c>
      <c r="AD95" s="43">
        <v>9</v>
      </c>
      <c r="AE95" s="54">
        <v>3.33</v>
      </c>
      <c r="AF95" s="411"/>
      <c r="AG95" s="411"/>
      <c r="AH95" s="506" t="s">
        <v>342</v>
      </c>
      <c r="AI95" s="493" t="s">
        <v>360</v>
      </c>
      <c r="AJ95" s="46" t="s">
        <v>288</v>
      </c>
      <c r="AK95" s="493" t="s">
        <v>360</v>
      </c>
      <c r="AL95" s="507">
        <v>2018</v>
      </c>
      <c r="AM95" s="149"/>
      <c r="AN95" s="53"/>
      <c r="AO95" s="45">
        <v>5</v>
      </c>
      <c r="AP95" s="490" t="s">
        <v>360</v>
      </c>
      <c r="AQ95" s="87">
        <v>9</v>
      </c>
      <c r="AR95" s="47">
        <v>3.66</v>
      </c>
      <c r="AS95" s="413"/>
      <c r="AT95" s="48" t="s">
        <v>342</v>
      </c>
      <c r="AU95" s="484" t="s">
        <v>360</v>
      </c>
      <c r="AV95" s="49" t="s">
        <v>288</v>
      </c>
      <c r="AW95" s="484" t="s">
        <v>360</v>
      </c>
      <c r="AX95" s="50">
        <v>2021</v>
      </c>
      <c r="AY95" s="91"/>
      <c r="AZ95" s="266" t="s">
        <v>624</v>
      </c>
      <c r="BA95" s="480">
        <v>4.18</v>
      </c>
      <c r="BB95" s="51">
        <v>3</v>
      </c>
      <c r="BC95" s="328">
        <v>0</v>
      </c>
      <c r="BD95" s="280">
        <v>2.34</v>
      </c>
      <c r="BE95" s="280">
        <v>0.33</v>
      </c>
      <c r="BF95" s="57" t="s">
        <v>412</v>
      </c>
      <c r="BG95" s="58"/>
      <c r="BH95" s="424"/>
      <c r="BI95" s="60"/>
      <c r="BJ95" s="489"/>
      <c r="BK95" s="422"/>
      <c r="BL95" s="489"/>
      <c r="BM95" s="245"/>
      <c r="BN95" s="149"/>
      <c r="BO95" s="62"/>
      <c r="BP95" s="59"/>
      <c r="BQ95" s="431"/>
      <c r="BR95" s="60"/>
      <c r="BS95" s="484"/>
      <c r="BT95" s="420"/>
      <c r="BU95" s="484"/>
      <c r="BV95" s="50"/>
      <c r="BW95" s="61" t="s">
        <v>349</v>
      </c>
      <c r="BX95" s="161"/>
      <c r="BY95" s="329" t="s">
        <v>216</v>
      </c>
      <c r="BZ95" s="57" t="s">
        <v>216</v>
      </c>
      <c r="CA95" s="392" t="s">
        <v>583</v>
      </c>
      <c r="CB95" s="63" t="s">
        <v>362</v>
      </c>
      <c r="CC95" s="41" t="s">
        <v>269</v>
      </c>
      <c r="CD95" s="52">
        <v>76</v>
      </c>
      <c r="CE95" s="35" t="s">
        <v>304</v>
      </c>
      <c r="CF95" s="35">
        <v>2011</v>
      </c>
      <c r="CG95" s="242" t="s">
        <v>169</v>
      </c>
      <c r="CH95" s="35"/>
      <c r="CI95" s="35"/>
      <c r="CJ95" s="35" t="s">
        <v>270</v>
      </c>
      <c r="CK95" s="55" t="s">
        <v>216</v>
      </c>
      <c r="CL95" s="65"/>
      <c r="CM95" s="66"/>
      <c r="CN95" s="65"/>
      <c r="CO95" s="84"/>
      <c r="CP95" s="55" t="s">
        <v>216</v>
      </c>
      <c r="CQ95" s="65"/>
      <c r="CR95" s="66"/>
      <c r="CS95" s="65"/>
      <c r="CT95" s="84"/>
      <c r="CU95" s="69" t="s">
        <v>116</v>
      </c>
      <c r="CV95" s="70" t="s">
        <v>57</v>
      </c>
      <c r="CW95" s="67">
        <v>6</v>
      </c>
      <c r="CX95" s="68">
        <v>2040</v>
      </c>
      <c r="CY95" s="67">
        <v>3</v>
      </c>
      <c r="CZ95" s="68">
        <v>2040</v>
      </c>
      <c r="DA95" s="67">
        <v>12</v>
      </c>
      <c r="DB95" s="68">
        <v>2039</v>
      </c>
      <c r="DC95" s="71" t="s">
        <v>216</v>
      </c>
      <c r="DD95" s="72" t="s">
        <v>207</v>
      </c>
      <c r="DE95" s="72"/>
      <c r="DF95" s="52">
        <v>720</v>
      </c>
      <c r="DG95" s="52">
        <v>463</v>
      </c>
      <c r="DH95" s="52">
        <v>34</v>
      </c>
      <c r="DI95" s="52" t="s">
        <v>405</v>
      </c>
      <c r="DJ95" s="52"/>
      <c r="DK95" s="52"/>
      <c r="DL95" s="57" t="s">
        <v>217</v>
      </c>
      <c r="DM95" s="65" t="s">
        <v>218</v>
      </c>
      <c r="DN95" s="36"/>
      <c r="DO95" s="35"/>
      <c r="DP95" s="158"/>
      <c r="DQ95" s="36"/>
      <c r="DR95" s="36"/>
      <c r="DS95" s="74"/>
      <c r="DT95" s="40"/>
      <c r="DU95" s="76"/>
      <c r="DV95" s="91"/>
      <c r="DW95" s="37" t="s">
        <v>319</v>
      </c>
      <c r="DX95" s="391" t="s">
        <v>417</v>
      </c>
      <c r="DY95" s="37" t="s">
        <v>319</v>
      </c>
      <c r="DZ95" s="48" t="s">
        <v>342</v>
      </c>
      <c r="EA95" s="49" t="s">
        <v>360</v>
      </c>
      <c r="EB95" s="49" t="s">
        <v>345</v>
      </c>
      <c r="EC95" s="49" t="s">
        <v>360</v>
      </c>
      <c r="ED95" s="77" t="s">
        <v>364</v>
      </c>
      <c r="EE95" s="49">
        <v>0</v>
      </c>
      <c r="EF95" s="78" t="s">
        <v>216</v>
      </c>
      <c r="EG95" s="48" t="s">
        <v>342</v>
      </c>
      <c r="EH95" s="49" t="s">
        <v>360</v>
      </c>
      <c r="EI95" s="49" t="s">
        <v>345</v>
      </c>
      <c r="EJ95" s="49" t="s">
        <v>360</v>
      </c>
      <c r="EK95" s="77" t="s">
        <v>364</v>
      </c>
      <c r="EL95" s="35"/>
      <c r="EM95" s="55" t="s">
        <v>216</v>
      </c>
      <c r="EN95" s="79" t="s">
        <v>116</v>
      </c>
      <c r="EO95" s="91"/>
      <c r="EP95" s="80"/>
      <c r="EQ95" s="80"/>
      <c r="ER95" s="80"/>
      <c r="ES95" s="80"/>
      <c r="ET95" s="80"/>
      <c r="EU95" s="80"/>
      <c r="EV95" s="80"/>
      <c r="EW95" s="80"/>
      <c r="EX95" s="80"/>
      <c r="EY95" s="80"/>
      <c r="EZ95" s="80"/>
      <c r="FA95" s="80"/>
      <c r="FB95" s="80"/>
      <c r="FC95" s="80"/>
      <c r="FD95" s="80"/>
      <c r="FE95" s="80"/>
      <c r="FF95" s="80"/>
      <c r="FG95" s="80"/>
      <c r="FH95" s="80"/>
      <c r="FI95" s="80"/>
      <c r="FJ95" s="80"/>
      <c r="FK95" s="80"/>
      <c r="FL95" s="80"/>
      <c r="FM95" s="80"/>
      <c r="FN95" s="80"/>
      <c r="FO95" s="80"/>
      <c r="FP95" s="80"/>
      <c r="FQ95" s="80"/>
      <c r="FR95" s="80"/>
    </row>
    <row r="96" spans="1:174" s="1731" customFormat="1" ht="11.25" customHeight="1" x14ac:dyDescent="0.2">
      <c r="A96" s="1656">
        <v>637</v>
      </c>
      <c r="B96" s="517">
        <v>23</v>
      </c>
      <c r="C96" s="1737"/>
      <c r="D96" s="1737" t="s">
        <v>144</v>
      </c>
      <c r="E96" s="1738" t="s">
        <v>6</v>
      </c>
      <c r="F96" s="1737" t="s">
        <v>381</v>
      </c>
      <c r="G96" s="1739" t="s">
        <v>343</v>
      </c>
      <c r="H96" s="1740" t="s">
        <v>360</v>
      </c>
      <c r="I96" s="1739" t="s">
        <v>347</v>
      </c>
      <c r="J96" s="1740" t="s">
        <v>360</v>
      </c>
      <c r="K96" s="1741">
        <v>1985</v>
      </c>
      <c r="L96" s="1742" t="s">
        <v>452</v>
      </c>
      <c r="M96" s="1743" t="s">
        <v>457</v>
      </c>
      <c r="N96" s="1744"/>
      <c r="O96" s="1745" t="e">
        <v>#N/A</v>
      </c>
      <c r="P96" s="1741"/>
      <c r="Q96" s="1746" t="e">
        <v>#N/A</v>
      </c>
      <c r="R96" s="1747" t="s">
        <v>622</v>
      </c>
      <c r="S96" s="1748" t="s">
        <v>561</v>
      </c>
      <c r="T96" s="1749" t="s">
        <v>105</v>
      </c>
      <c r="U96" s="1750" t="s">
        <v>216</v>
      </c>
      <c r="V96" s="1751" t="s">
        <v>425</v>
      </c>
      <c r="W96" s="1752" t="s">
        <v>340</v>
      </c>
      <c r="X96" s="1751" t="s">
        <v>169</v>
      </c>
      <c r="Y96" s="1753" t="s">
        <v>340</v>
      </c>
      <c r="Z96" s="1754" t="s">
        <v>169</v>
      </c>
      <c r="AA96" s="1743" t="s">
        <v>410</v>
      </c>
      <c r="AB96" s="1755">
        <v>4</v>
      </c>
      <c r="AC96" s="1756" t="s">
        <v>360</v>
      </c>
      <c r="AD96" s="1757">
        <v>9</v>
      </c>
      <c r="AE96" s="1668">
        <v>3.33</v>
      </c>
      <c r="AF96" s="1758"/>
      <c r="AG96" s="1758"/>
      <c r="AH96" s="1759" t="s">
        <v>342</v>
      </c>
      <c r="AI96" s="1201" t="s">
        <v>360</v>
      </c>
      <c r="AJ96" s="1760" t="s">
        <v>288</v>
      </c>
      <c r="AK96" s="1201" t="s">
        <v>360</v>
      </c>
      <c r="AL96" s="1203">
        <v>2018</v>
      </c>
      <c r="AM96" s="1761"/>
      <c r="AN96" s="1762"/>
      <c r="AO96" s="1763">
        <v>5</v>
      </c>
      <c r="AP96" s="1764" t="s">
        <v>360</v>
      </c>
      <c r="AQ96" s="1765">
        <v>9</v>
      </c>
      <c r="AR96" s="1742">
        <v>3.66</v>
      </c>
      <c r="AS96" s="1766"/>
      <c r="AT96" s="1767" t="s">
        <v>342</v>
      </c>
      <c r="AU96" s="1768" t="s">
        <v>360</v>
      </c>
      <c r="AV96" s="1769" t="s">
        <v>288</v>
      </c>
      <c r="AW96" s="1768" t="s">
        <v>360</v>
      </c>
      <c r="AX96" s="1187">
        <v>2021</v>
      </c>
      <c r="AY96" s="1176"/>
      <c r="AZ96" s="1770" t="s">
        <v>618</v>
      </c>
      <c r="BA96" s="1215">
        <v>4.18</v>
      </c>
      <c r="BB96" s="1771">
        <v>3</v>
      </c>
      <c r="BC96" s="1772">
        <v>0</v>
      </c>
      <c r="BD96" s="1668">
        <v>2.34</v>
      </c>
      <c r="BE96" s="1668">
        <v>0.33</v>
      </c>
      <c r="BF96" s="1773" t="s">
        <v>412</v>
      </c>
      <c r="BG96" s="1774"/>
      <c r="BH96" s="1775"/>
      <c r="BI96" s="1776"/>
      <c r="BJ96" s="1768"/>
      <c r="BK96" s="1777"/>
      <c r="BL96" s="1768"/>
      <c r="BM96" s="1778"/>
      <c r="BN96" s="1761"/>
      <c r="BO96" s="1779"/>
      <c r="BP96" s="1780"/>
      <c r="BQ96" s="1781"/>
      <c r="BR96" s="1776"/>
      <c r="BS96" s="1768"/>
      <c r="BT96" s="1777"/>
      <c r="BU96" s="1768"/>
      <c r="BV96" s="1778"/>
      <c r="BW96" s="1782"/>
      <c r="BX96" s="1783"/>
      <c r="BY96" s="1784" t="s">
        <v>216</v>
      </c>
      <c r="BZ96" s="1773" t="s">
        <v>216</v>
      </c>
      <c r="CA96" s="1741" t="s">
        <v>576</v>
      </c>
      <c r="CB96" s="1785" t="s">
        <v>362</v>
      </c>
      <c r="CC96" s="1786" t="s">
        <v>269</v>
      </c>
      <c r="CD96" s="1743">
        <v>76</v>
      </c>
      <c r="CE96" s="1737" t="s">
        <v>116</v>
      </c>
      <c r="CF96" s="1737"/>
      <c r="CG96" s="1787"/>
      <c r="CH96" s="1737"/>
      <c r="CI96" s="1788"/>
      <c r="CJ96" s="1737" t="s">
        <v>216</v>
      </c>
      <c r="CK96" s="1789" t="s">
        <v>216</v>
      </c>
      <c r="CL96" s="1790"/>
      <c r="CM96" s="1791"/>
      <c r="CN96" s="1790"/>
      <c r="CO96" s="1792"/>
      <c r="CP96" s="1789" t="s">
        <v>216</v>
      </c>
      <c r="CQ96" s="1790"/>
      <c r="CR96" s="1793"/>
      <c r="CS96" s="1790"/>
      <c r="CT96" s="1792"/>
      <c r="CU96" s="1794" t="s">
        <v>116</v>
      </c>
      <c r="CV96" s="1795" t="s">
        <v>57</v>
      </c>
      <c r="CW96" s="1796">
        <v>4</v>
      </c>
      <c r="CX96" s="1797">
        <v>2040</v>
      </c>
      <c r="CY96" s="1796">
        <v>1</v>
      </c>
      <c r="CZ96" s="1797">
        <v>2040</v>
      </c>
      <c r="DA96" s="1796">
        <v>10</v>
      </c>
      <c r="DB96" s="1797">
        <v>2039</v>
      </c>
      <c r="DC96" s="1798" t="s">
        <v>216</v>
      </c>
      <c r="DD96" s="1799" t="s">
        <v>207</v>
      </c>
      <c r="DE96" s="1799"/>
      <c r="DF96" s="1743">
        <v>660</v>
      </c>
      <c r="DG96" s="1743">
        <v>405</v>
      </c>
      <c r="DH96" s="1743">
        <v>29</v>
      </c>
      <c r="DI96" s="1743" t="s">
        <v>407</v>
      </c>
      <c r="DJ96" s="1743"/>
      <c r="DK96" s="1743"/>
      <c r="DL96" s="1773" t="s">
        <v>208</v>
      </c>
      <c r="DM96" s="1790" t="s">
        <v>218</v>
      </c>
      <c r="DN96" s="1793"/>
      <c r="DO96" s="1737"/>
      <c r="DP96" s="1800"/>
      <c r="DQ96" s="1793"/>
      <c r="DR96" s="1792"/>
      <c r="DS96" s="1801"/>
      <c r="DT96" s="1802"/>
      <c r="DU96" s="1803"/>
      <c r="DV96" s="1804"/>
      <c r="DW96" s="1805" t="s">
        <v>3</v>
      </c>
      <c r="DX96" s="1748" t="s">
        <v>150</v>
      </c>
      <c r="DY96" s="1805" t="s">
        <v>262</v>
      </c>
      <c r="DZ96" s="1767" t="s">
        <v>342</v>
      </c>
      <c r="EA96" s="1769" t="s">
        <v>360</v>
      </c>
      <c r="EB96" s="1769" t="s">
        <v>377</v>
      </c>
      <c r="EC96" s="1769" t="s">
        <v>360</v>
      </c>
      <c r="ED96" s="1806">
        <v>2012</v>
      </c>
      <c r="EE96" s="1769">
        <v>0</v>
      </c>
      <c r="EF96" s="1807" t="s">
        <v>216</v>
      </c>
      <c r="EG96" s="1767" t="s">
        <v>342</v>
      </c>
      <c r="EH96" s="1769" t="s">
        <v>360</v>
      </c>
      <c r="EI96" s="1769" t="s">
        <v>377</v>
      </c>
      <c r="EJ96" s="1769" t="s">
        <v>360</v>
      </c>
      <c r="EK96" s="1806">
        <v>2012</v>
      </c>
      <c r="EL96" s="1737"/>
      <c r="EM96" s="1789" t="s">
        <v>216</v>
      </c>
      <c r="EN96" s="1808" t="s">
        <v>116</v>
      </c>
      <c r="EO96" s="1804"/>
    </row>
    <row r="97" spans="1:174" s="1617" customFormat="1" ht="11.25" customHeight="1" x14ac:dyDescent="0.2">
      <c r="A97" s="1534">
        <v>642</v>
      </c>
      <c r="B97" s="1535">
        <v>28</v>
      </c>
      <c r="C97" s="1536"/>
      <c r="D97" s="1536" t="s">
        <v>143</v>
      </c>
      <c r="E97" s="1537" t="s">
        <v>4</v>
      </c>
      <c r="F97" s="1536" t="s">
        <v>379</v>
      </c>
      <c r="G97" s="1538" t="s">
        <v>342</v>
      </c>
      <c r="H97" s="1539" t="s">
        <v>360</v>
      </c>
      <c r="I97" s="1538" t="s">
        <v>342</v>
      </c>
      <c r="J97" s="1539" t="s">
        <v>360</v>
      </c>
      <c r="K97" s="1537">
        <v>1977</v>
      </c>
      <c r="L97" s="1620" t="s">
        <v>434</v>
      </c>
      <c r="M97" s="1183" t="s">
        <v>572</v>
      </c>
      <c r="N97" s="1621"/>
      <c r="O97" s="1622" t="e">
        <v>#N/A</v>
      </c>
      <c r="P97" s="1537"/>
      <c r="Q97" s="1535" t="e">
        <v>#N/A</v>
      </c>
      <c r="R97" s="1634" t="s">
        <v>370</v>
      </c>
      <c r="S97" s="1537" t="s">
        <v>561</v>
      </c>
      <c r="T97" s="1540" t="s">
        <v>105</v>
      </c>
      <c r="U97" s="1541" t="s">
        <v>216</v>
      </c>
      <c r="V97" s="1184" t="s">
        <v>425</v>
      </c>
      <c r="W97" s="1542" t="s">
        <v>340</v>
      </c>
      <c r="X97" s="1543" t="s">
        <v>169</v>
      </c>
      <c r="Y97" s="1544" t="s">
        <v>340</v>
      </c>
      <c r="Z97" s="1544" t="s">
        <v>169</v>
      </c>
      <c r="AA97" s="1545" t="s">
        <v>410</v>
      </c>
      <c r="AB97" s="1546">
        <v>4</v>
      </c>
      <c r="AC97" s="1547" t="s">
        <v>360</v>
      </c>
      <c r="AD97" s="1548">
        <v>9</v>
      </c>
      <c r="AE97" s="1549">
        <v>3.33</v>
      </c>
      <c r="AF97" s="1809"/>
      <c r="AG97" s="1562"/>
      <c r="AH97" s="1550" t="s">
        <v>342</v>
      </c>
      <c r="AI97" s="1554" t="s">
        <v>360</v>
      </c>
      <c r="AJ97" s="1550" t="s">
        <v>288</v>
      </c>
      <c r="AK97" s="1554" t="s">
        <v>360</v>
      </c>
      <c r="AL97" s="1810">
        <v>2018</v>
      </c>
      <c r="AM97" s="1556"/>
      <c r="AN97" s="1557"/>
      <c r="AO97" s="1640">
        <v>5</v>
      </c>
      <c r="AP97" s="1629" t="s">
        <v>360</v>
      </c>
      <c r="AQ97" s="1560">
        <v>9</v>
      </c>
      <c r="AR97" s="1630">
        <v>3.66</v>
      </c>
      <c r="AS97" s="1562"/>
      <c r="AT97" s="1563" t="s">
        <v>342</v>
      </c>
      <c r="AU97" s="1566" t="s">
        <v>360</v>
      </c>
      <c r="AV97" s="1565" t="s">
        <v>288</v>
      </c>
      <c r="AW97" s="1566" t="s">
        <v>360</v>
      </c>
      <c r="AX97" s="1586">
        <v>2021</v>
      </c>
      <c r="AY97" s="1568"/>
      <c r="AZ97" s="1569"/>
      <c r="BA97" s="1570">
        <v>4.18</v>
      </c>
      <c r="BB97" s="1571">
        <v>3</v>
      </c>
      <c r="BC97" s="1572">
        <v>0</v>
      </c>
      <c r="BD97" s="1573">
        <v>2.34</v>
      </c>
      <c r="BE97" s="1573">
        <v>0.33</v>
      </c>
      <c r="BF97" s="1574" t="s">
        <v>412</v>
      </c>
      <c r="BG97" s="1575"/>
      <c r="BH97" s="1576"/>
      <c r="BI97" s="1584"/>
      <c r="BJ97" s="1578"/>
      <c r="BK97" s="1625"/>
      <c r="BL97" s="1578"/>
      <c r="BM97" s="1586"/>
      <c r="BN97" s="1556"/>
      <c r="BO97" s="1581"/>
      <c r="BP97" s="1582"/>
      <c r="BQ97" s="1583"/>
      <c r="BR97" s="1584"/>
      <c r="BS97" s="1566"/>
      <c r="BT97" s="1626"/>
      <c r="BU97" s="1566"/>
      <c r="BV97" s="1586"/>
      <c r="BW97" s="1587"/>
      <c r="BX97" s="1588"/>
      <c r="BY97" s="1589" t="s">
        <v>216</v>
      </c>
      <c r="BZ97" s="1574" t="s">
        <v>216</v>
      </c>
      <c r="CA97" s="1590" t="s">
        <v>576</v>
      </c>
      <c r="CB97" s="1591" t="s">
        <v>362</v>
      </c>
      <c r="CC97" s="1592" t="s">
        <v>269</v>
      </c>
      <c r="CD97" s="1545">
        <v>76</v>
      </c>
      <c r="CE97" s="1536" t="s">
        <v>116</v>
      </c>
      <c r="CF97" s="1536"/>
      <c r="CG97" s="1627"/>
      <c r="CH97" s="1536"/>
      <c r="CI97" s="1628"/>
      <c r="CJ97" s="1536" t="s">
        <v>216</v>
      </c>
      <c r="CK97" s="1595" t="s">
        <v>216</v>
      </c>
      <c r="CL97" s="1596"/>
      <c r="CM97" s="1597"/>
      <c r="CN97" s="1596"/>
      <c r="CO97" s="1598"/>
      <c r="CP97" s="1595" t="s">
        <v>216</v>
      </c>
      <c r="CQ97" s="1596"/>
      <c r="CR97" s="1597"/>
      <c r="CS97" s="1596"/>
      <c r="CT97" s="1598"/>
      <c r="CU97" s="1599" t="s">
        <v>116</v>
      </c>
      <c r="CV97" s="1600" t="s">
        <v>57</v>
      </c>
      <c r="CW97" s="1601">
        <v>2</v>
      </c>
      <c r="CX97" s="1602">
        <v>2037</v>
      </c>
      <c r="CY97" s="1601">
        <v>11</v>
      </c>
      <c r="CZ97" s="1602">
        <v>2036</v>
      </c>
      <c r="DA97" s="1601">
        <v>8</v>
      </c>
      <c r="DB97" s="1602">
        <v>2036</v>
      </c>
      <c r="DC97" s="1603" t="s">
        <v>216</v>
      </c>
      <c r="DD97" s="1604" t="s">
        <v>207</v>
      </c>
      <c r="DE97" s="1604"/>
      <c r="DF97" s="1545">
        <v>720</v>
      </c>
      <c r="DG97" s="1545">
        <v>503</v>
      </c>
      <c r="DH97" s="1545">
        <v>37</v>
      </c>
      <c r="DI97" s="1545" t="s">
        <v>403</v>
      </c>
      <c r="DJ97" s="1545"/>
      <c r="DK97" s="1545"/>
      <c r="DL97" s="1574" t="s">
        <v>217</v>
      </c>
      <c r="DM97" s="1596" t="s">
        <v>218</v>
      </c>
      <c r="DN97" s="1605"/>
      <c r="DO97" s="1536"/>
      <c r="DP97" s="1606"/>
      <c r="DQ97" s="1605"/>
      <c r="DR97" s="1598"/>
      <c r="DS97" s="1607"/>
      <c r="DT97" s="1608"/>
      <c r="DU97" s="1609"/>
      <c r="DV97" s="1568"/>
      <c r="DW97" s="1610" t="s">
        <v>370</v>
      </c>
      <c r="DX97" s="1611" t="s">
        <v>150</v>
      </c>
      <c r="DY97" s="1610" t="s">
        <v>370</v>
      </c>
      <c r="DZ97" s="1563" t="s">
        <v>342</v>
      </c>
      <c r="EA97" s="1565" t="s">
        <v>360</v>
      </c>
      <c r="EB97" s="1565" t="s">
        <v>377</v>
      </c>
      <c r="EC97" s="1565" t="s">
        <v>360</v>
      </c>
      <c r="ED97" s="1613">
        <v>2012</v>
      </c>
      <c r="EE97" s="1565">
        <v>0</v>
      </c>
      <c r="EF97" s="1614" t="s">
        <v>216</v>
      </c>
      <c r="EG97" s="1563" t="s">
        <v>342</v>
      </c>
      <c r="EH97" s="1565" t="s">
        <v>360</v>
      </c>
      <c r="EI97" s="1565" t="s">
        <v>377</v>
      </c>
      <c r="EJ97" s="1565" t="s">
        <v>360</v>
      </c>
      <c r="EK97" s="1613">
        <v>2012</v>
      </c>
      <c r="EL97" s="1536"/>
      <c r="EM97" s="1595" t="s">
        <v>216</v>
      </c>
      <c r="EN97" s="1616" t="s">
        <v>116</v>
      </c>
      <c r="EO97" s="1568"/>
    </row>
    <row r="98" spans="1:174" s="1617" customFormat="1" ht="11.25" customHeight="1" x14ac:dyDescent="0.25">
      <c r="A98" s="1534">
        <v>650</v>
      </c>
      <c r="B98" s="1173">
        <v>35</v>
      </c>
      <c r="C98" s="1536"/>
      <c r="D98" s="1536" t="s">
        <v>144</v>
      </c>
      <c r="E98" s="1537" t="s">
        <v>5</v>
      </c>
      <c r="F98" s="1536" t="s">
        <v>381</v>
      </c>
      <c r="G98" s="1538" t="s">
        <v>283</v>
      </c>
      <c r="H98" s="1539" t="s">
        <v>360</v>
      </c>
      <c r="I98" s="1538" t="s">
        <v>346</v>
      </c>
      <c r="J98" s="1539" t="s">
        <v>360</v>
      </c>
      <c r="K98" s="1537">
        <v>1985</v>
      </c>
      <c r="L98" s="1620" t="s">
        <v>452</v>
      </c>
      <c r="M98" s="1183" t="s">
        <v>457</v>
      </c>
      <c r="N98" s="1621"/>
      <c r="O98" s="1182" t="e">
        <v>#N/A</v>
      </c>
      <c r="P98" s="1537"/>
      <c r="Q98" s="1173" t="e">
        <v>#N/A</v>
      </c>
      <c r="R98" s="1811" t="s">
        <v>369</v>
      </c>
      <c r="S98" s="1812" t="s">
        <v>561</v>
      </c>
      <c r="T98" s="1540" t="s">
        <v>105</v>
      </c>
      <c r="U98" s="1541" t="s">
        <v>216</v>
      </c>
      <c r="V98" s="1184" t="s">
        <v>425</v>
      </c>
      <c r="W98" s="1637" t="s">
        <v>341</v>
      </c>
      <c r="X98" s="1594" t="s">
        <v>191</v>
      </c>
      <c r="Y98" s="1645" t="s">
        <v>341</v>
      </c>
      <c r="Z98" s="1645" t="s">
        <v>191</v>
      </c>
      <c r="AA98" s="1545" t="s">
        <v>410</v>
      </c>
      <c r="AB98" s="1546">
        <v>4</v>
      </c>
      <c r="AC98" s="1547" t="s">
        <v>360</v>
      </c>
      <c r="AD98" s="1548">
        <v>9</v>
      </c>
      <c r="AE98" s="1639">
        <v>3.33</v>
      </c>
      <c r="AF98" s="1640"/>
      <c r="AG98" s="1562"/>
      <c r="AH98" s="1643" t="s">
        <v>342</v>
      </c>
      <c r="AI98" s="1554" t="s">
        <v>360</v>
      </c>
      <c r="AJ98" s="1643" t="s">
        <v>288</v>
      </c>
      <c r="AK98" s="1554" t="s">
        <v>360</v>
      </c>
      <c r="AL98" s="1810">
        <v>2018</v>
      </c>
      <c r="AM98" s="1646"/>
      <c r="AN98" s="1557"/>
      <c r="AO98" s="1654">
        <v>5</v>
      </c>
      <c r="AP98" s="1655" t="s">
        <v>360</v>
      </c>
      <c r="AQ98" s="1641">
        <v>9</v>
      </c>
      <c r="AR98" s="1630">
        <v>3.66</v>
      </c>
      <c r="AS98" s="1562"/>
      <c r="AT98" s="1563" t="s">
        <v>342</v>
      </c>
      <c r="AU98" s="1566" t="s">
        <v>360</v>
      </c>
      <c r="AV98" s="1565" t="s">
        <v>288</v>
      </c>
      <c r="AW98" s="1566" t="s">
        <v>360</v>
      </c>
      <c r="AX98" s="1586">
        <v>2021</v>
      </c>
      <c r="AY98" s="1644"/>
      <c r="AZ98" s="1647" t="s">
        <v>612</v>
      </c>
      <c r="BA98" s="1648">
        <v>4.18</v>
      </c>
      <c r="BB98" s="1571">
        <v>3</v>
      </c>
      <c r="BC98" s="1180">
        <v>0</v>
      </c>
      <c r="BD98" s="1573">
        <v>2.34</v>
      </c>
      <c r="BE98" s="1573">
        <v>0.33</v>
      </c>
      <c r="BF98" s="1574" t="s">
        <v>412</v>
      </c>
      <c r="BG98" s="1575"/>
      <c r="BH98" s="1576"/>
      <c r="BI98" s="1584"/>
      <c r="BJ98" s="1578"/>
      <c r="BK98" s="1625"/>
      <c r="BL98" s="1578"/>
      <c r="BM98" s="1633"/>
      <c r="BN98" s="1556"/>
      <c r="BO98" s="1649"/>
      <c r="BP98" s="1582"/>
      <c r="BQ98" s="1583"/>
      <c r="BR98" s="1584"/>
      <c r="BS98" s="1566"/>
      <c r="BT98" s="1626"/>
      <c r="BU98" s="1566"/>
      <c r="BV98" s="1633"/>
      <c r="BW98" s="1650"/>
      <c r="BX98" s="1651"/>
      <c r="BY98" s="1181" t="s">
        <v>216</v>
      </c>
      <c r="BZ98" s="1574" t="s">
        <v>216</v>
      </c>
      <c r="CA98" s="1590" t="s">
        <v>576</v>
      </c>
      <c r="CB98" s="1591" t="s">
        <v>362</v>
      </c>
      <c r="CC98" s="1592" t="s">
        <v>269</v>
      </c>
      <c r="CD98" s="1545">
        <v>76</v>
      </c>
      <c r="CE98" s="1536" t="s">
        <v>116</v>
      </c>
      <c r="CF98" s="1536"/>
      <c r="CG98" s="1636"/>
      <c r="CH98" s="1536"/>
      <c r="CI98" s="1536"/>
      <c r="CJ98" s="1536" t="s">
        <v>216</v>
      </c>
      <c r="CK98" s="1595" t="s">
        <v>216</v>
      </c>
      <c r="CL98" s="1596"/>
      <c r="CM98" s="1597"/>
      <c r="CN98" s="1596"/>
      <c r="CO98" s="1598"/>
      <c r="CP98" s="1595" t="s">
        <v>216</v>
      </c>
      <c r="CQ98" s="1596"/>
      <c r="CR98" s="1597"/>
      <c r="CS98" s="1596"/>
      <c r="CT98" s="1598"/>
      <c r="CU98" s="1599" t="s">
        <v>116</v>
      </c>
      <c r="CV98" s="1652" t="s">
        <v>57</v>
      </c>
      <c r="CW98" s="1601">
        <v>9</v>
      </c>
      <c r="CX98" s="1602">
        <v>2040</v>
      </c>
      <c r="CY98" s="1601">
        <v>6</v>
      </c>
      <c r="CZ98" s="1602">
        <v>2040</v>
      </c>
      <c r="DA98" s="1601">
        <v>3</v>
      </c>
      <c r="DB98" s="1602">
        <v>2040</v>
      </c>
      <c r="DC98" s="1603" t="s">
        <v>216</v>
      </c>
      <c r="DD98" s="1604" t="s">
        <v>207</v>
      </c>
      <c r="DE98" s="1604"/>
      <c r="DF98" s="1545">
        <v>660</v>
      </c>
      <c r="DG98" s="1545">
        <v>400</v>
      </c>
      <c r="DH98" s="1545">
        <v>29</v>
      </c>
      <c r="DI98" s="1545" t="s">
        <v>407</v>
      </c>
      <c r="DJ98" s="1545"/>
      <c r="DK98" s="1545"/>
      <c r="DL98" s="1574" t="s">
        <v>208</v>
      </c>
      <c r="DM98" s="1596" t="s">
        <v>218</v>
      </c>
      <c r="DN98" s="1605"/>
      <c r="DO98" s="1631"/>
      <c r="DP98" s="1632"/>
      <c r="DQ98" s="1598"/>
      <c r="DR98" s="1598"/>
      <c r="DS98" s="1653"/>
      <c r="DT98" s="1635"/>
      <c r="DU98" s="1609"/>
      <c r="DV98" s="1568"/>
      <c r="DW98" s="1642" t="s">
        <v>369</v>
      </c>
      <c r="DX98" s="1611" t="s">
        <v>150</v>
      </c>
      <c r="DY98" s="1610" t="s">
        <v>369</v>
      </c>
      <c r="DZ98" s="1563" t="s">
        <v>342</v>
      </c>
      <c r="EA98" s="1565" t="s">
        <v>360</v>
      </c>
      <c r="EB98" s="1612" t="s">
        <v>377</v>
      </c>
      <c r="EC98" s="1565" t="s">
        <v>360</v>
      </c>
      <c r="ED98" s="1613">
        <v>2012</v>
      </c>
      <c r="EE98" s="1565">
        <v>0</v>
      </c>
      <c r="EF98" s="1614" t="s">
        <v>216</v>
      </c>
      <c r="EG98" s="1563" t="s">
        <v>342</v>
      </c>
      <c r="EH98" s="1565" t="s">
        <v>360</v>
      </c>
      <c r="EI98" s="1612" t="s">
        <v>377</v>
      </c>
      <c r="EJ98" s="1565" t="s">
        <v>360</v>
      </c>
      <c r="EK98" s="1613">
        <v>2012</v>
      </c>
      <c r="EL98" s="1635"/>
      <c r="EM98" s="1595" t="s">
        <v>216</v>
      </c>
      <c r="EN98" s="1616" t="s">
        <v>116</v>
      </c>
      <c r="EO98" s="1568"/>
    </row>
    <row r="99" spans="1:174" s="1817" customFormat="1" ht="11.25" customHeight="1" x14ac:dyDescent="0.2">
      <c r="A99" s="1656">
        <v>688</v>
      </c>
      <c r="B99" s="1813">
        <v>27</v>
      </c>
      <c r="C99" s="1175"/>
      <c r="D99" s="1175" t="s">
        <v>144</v>
      </c>
      <c r="E99" s="1186" t="s">
        <v>113</v>
      </c>
      <c r="F99" s="1175" t="s">
        <v>381</v>
      </c>
      <c r="G99" s="1174" t="s">
        <v>351</v>
      </c>
      <c r="H99" s="1657" t="s">
        <v>360</v>
      </c>
      <c r="I99" s="1174" t="s">
        <v>373</v>
      </c>
      <c r="J99" s="1657" t="s">
        <v>360</v>
      </c>
      <c r="K99" s="1186">
        <v>1974</v>
      </c>
      <c r="L99" s="1188" t="s">
        <v>434</v>
      </c>
      <c r="M99" s="1658" t="s">
        <v>572</v>
      </c>
      <c r="N99" s="1189"/>
      <c r="O99" s="1659" t="e">
        <v>#N/A</v>
      </c>
      <c r="P99" s="1186"/>
      <c r="Q99" s="1185" t="e">
        <v>#N/A</v>
      </c>
      <c r="R99" s="1660" t="s">
        <v>86</v>
      </c>
      <c r="S99" s="1661" t="s">
        <v>557</v>
      </c>
      <c r="T99" s="1190" t="s">
        <v>105</v>
      </c>
      <c r="U99" s="1191" t="s">
        <v>216</v>
      </c>
      <c r="V99" s="1662" t="s">
        <v>424</v>
      </c>
      <c r="W99" s="1663" t="s">
        <v>430</v>
      </c>
      <c r="X99" s="1664" t="s">
        <v>426</v>
      </c>
      <c r="Y99" s="1193" t="s">
        <v>430</v>
      </c>
      <c r="Z99" s="1193" t="s">
        <v>426</v>
      </c>
      <c r="AA99" s="1194" t="s">
        <v>410</v>
      </c>
      <c r="AB99" s="1814">
        <v>4</v>
      </c>
      <c r="AC99" s="1196" t="s">
        <v>360</v>
      </c>
      <c r="AD99" s="1197">
        <v>9</v>
      </c>
      <c r="AE99" s="1198">
        <v>3.33</v>
      </c>
      <c r="AF99" s="1199"/>
      <c r="AG99" s="1199"/>
      <c r="AH99" s="1200" t="s">
        <v>342</v>
      </c>
      <c r="AI99" s="1201" t="s">
        <v>360</v>
      </c>
      <c r="AJ99" s="1202" t="s">
        <v>288</v>
      </c>
      <c r="AK99" s="1201" t="s">
        <v>360</v>
      </c>
      <c r="AL99" s="1203">
        <v>2018</v>
      </c>
      <c r="AM99" s="1204"/>
      <c r="AN99" s="1205"/>
      <c r="AO99" s="1206">
        <v>5</v>
      </c>
      <c r="AP99" s="1207" t="s">
        <v>360</v>
      </c>
      <c r="AQ99" s="1208">
        <v>9</v>
      </c>
      <c r="AR99" s="1209">
        <v>3.66</v>
      </c>
      <c r="AS99" s="1210"/>
      <c r="AT99" s="1211" t="s">
        <v>342</v>
      </c>
      <c r="AU99" s="1212" t="s">
        <v>360</v>
      </c>
      <c r="AV99" s="1213" t="s">
        <v>288</v>
      </c>
      <c r="AW99" s="1212" t="s">
        <v>360</v>
      </c>
      <c r="AX99" s="1187">
        <v>2021</v>
      </c>
      <c r="AY99" s="1176"/>
      <c r="AZ99" s="1815"/>
      <c r="BA99" s="1215">
        <v>4.18</v>
      </c>
      <c r="BB99" s="1216">
        <v>3</v>
      </c>
      <c r="BC99" s="1667">
        <v>0</v>
      </c>
      <c r="BD99" s="1668">
        <v>2.34</v>
      </c>
      <c r="BE99" s="1668">
        <v>0.33</v>
      </c>
      <c r="BF99" s="1217" t="s">
        <v>412</v>
      </c>
      <c r="BG99" s="1218"/>
      <c r="BH99" s="1669"/>
      <c r="BI99" s="1670"/>
      <c r="BJ99" s="1220"/>
      <c r="BK99" s="1671"/>
      <c r="BL99" s="1220"/>
      <c r="BM99" s="1672"/>
      <c r="BN99" s="1204"/>
      <c r="BO99" s="1222"/>
      <c r="BP99" s="1223"/>
      <c r="BQ99" s="1224"/>
      <c r="BR99" s="1219"/>
      <c r="BS99" s="1212"/>
      <c r="BT99" s="1673"/>
      <c r="BU99" s="1212"/>
      <c r="BV99" s="1187"/>
      <c r="BW99" s="1226"/>
      <c r="BX99" s="1227"/>
      <c r="BY99" s="1253" t="s">
        <v>216</v>
      </c>
      <c r="BZ99" s="1217" t="s">
        <v>216</v>
      </c>
      <c r="CA99" s="1228" t="s">
        <v>577</v>
      </c>
      <c r="CB99" s="1229" t="s">
        <v>362</v>
      </c>
      <c r="CC99" s="1230" t="s">
        <v>269</v>
      </c>
      <c r="CD99" s="1194">
        <v>76</v>
      </c>
      <c r="CE99" s="1175" t="s">
        <v>116</v>
      </c>
      <c r="CF99" s="1175"/>
      <c r="CG99" s="1254"/>
      <c r="CH99" s="1175"/>
      <c r="CI99" s="1674"/>
      <c r="CJ99" s="1175" t="s">
        <v>216</v>
      </c>
      <c r="CK99" s="1232" t="s">
        <v>216</v>
      </c>
      <c r="CL99" s="1233"/>
      <c r="CM99" s="1234"/>
      <c r="CN99" s="1233"/>
      <c r="CO99" s="1235"/>
      <c r="CP99" s="1232" t="s">
        <v>216</v>
      </c>
      <c r="CQ99" s="1233"/>
      <c r="CR99" s="1234"/>
      <c r="CS99" s="1233"/>
      <c r="CT99" s="1235"/>
      <c r="CU99" s="1236" t="s">
        <v>116</v>
      </c>
      <c r="CV99" s="1237" t="s">
        <v>57</v>
      </c>
      <c r="CW99" s="1238">
        <v>12</v>
      </c>
      <c r="CX99" s="1239">
        <v>2029</v>
      </c>
      <c r="CY99" s="1238">
        <v>9</v>
      </c>
      <c r="CZ99" s="1239">
        <v>2029</v>
      </c>
      <c r="DA99" s="1238">
        <v>6</v>
      </c>
      <c r="DB99" s="1239">
        <v>2029</v>
      </c>
      <c r="DC99" s="1240" t="s">
        <v>216</v>
      </c>
      <c r="DD99" s="1241" t="s">
        <v>207</v>
      </c>
      <c r="DE99" s="1241"/>
      <c r="DF99" s="1194">
        <v>660</v>
      </c>
      <c r="DG99" s="1194">
        <v>529</v>
      </c>
      <c r="DH99" s="1194">
        <v>40</v>
      </c>
      <c r="DI99" s="1194" t="s">
        <v>404</v>
      </c>
      <c r="DJ99" s="1194"/>
      <c r="DK99" s="1194"/>
      <c r="DL99" s="1217" t="s">
        <v>217</v>
      </c>
      <c r="DM99" s="1233" t="s">
        <v>218</v>
      </c>
      <c r="DN99" s="1242"/>
      <c r="DO99" s="1736"/>
      <c r="DP99" s="1816"/>
      <c r="DQ99" s="1235"/>
      <c r="DR99" s="1235"/>
      <c r="DS99" s="1244"/>
      <c r="DT99" s="1245"/>
      <c r="DU99" s="1246"/>
      <c r="DV99" s="1176"/>
      <c r="DW99" s="1247" t="s">
        <v>86</v>
      </c>
      <c r="DX99" s="1661" t="s">
        <v>416</v>
      </c>
      <c r="DY99" s="1247" t="s">
        <v>86</v>
      </c>
      <c r="DZ99" s="1211" t="s">
        <v>351</v>
      </c>
      <c r="EA99" s="1213" t="s">
        <v>360</v>
      </c>
      <c r="EB99" s="1213" t="s">
        <v>377</v>
      </c>
      <c r="EC99" s="1213" t="s">
        <v>360</v>
      </c>
      <c r="ED99" s="1248">
        <v>2012</v>
      </c>
      <c r="EE99" s="1213">
        <v>14</v>
      </c>
      <c r="EF99" s="1249" t="s">
        <v>413</v>
      </c>
      <c r="EG99" s="1211" t="s">
        <v>342</v>
      </c>
      <c r="EH99" s="1213" t="s">
        <v>360</v>
      </c>
      <c r="EI99" s="1213" t="s">
        <v>377</v>
      </c>
      <c r="EJ99" s="1213" t="s">
        <v>360</v>
      </c>
      <c r="EK99" s="1248">
        <v>2012</v>
      </c>
      <c r="EL99" s="1175"/>
      <c r="EM99" s="1232" t="s">
        <v>216</v>
      </c>
      <c r="EN99" s="1250" t="s">
        <v>116</v>
      </c>
      <c r="EO99" s="1176"/>
      <c r="EP99" s="1251"/>
      <c r="EQ99" s="1251"/>
      <c r="ER99" s="1251"/>
      <c r="ES99" s="1251"/>
      <c r="ET99" s="1251"/>
      <c r="EU99" s="1251"/>
      <c r="EV99" s="1251"/>
      <c r="EW99" s="1251"/>
      <c r="EX99" s="1251"/>
      <c r="EY99" s="1251"/>
      <c r="EZ99" s="1251"/>
      <c r="FA99" s="1251"/>
      <c r="FB99" s="1251"/>
      <c r="FC99" s="1251"/>
      <c r="FD99" s="1251"/>
      <c r="FE99" s="1251"/>
      <c r="FF99" s="1251"/>
      <c r="FG99" s="1251"/>
      <c r="FH99" s="1251"/>
      <c r="FI99" s="1251"/>
      <c r="FJ99" s="1251"/>
      <c r="FK99" s="1251"/>
      <c r="FL99" s="1251"/>
      <c r="FM99" s="1251"/>
      <c r="FN99" s="1251"/>
      <c r="FO99" s="1251"/>
      <c r="FP99" s="1251"/>
      <c r="FQ99" s="1251"/>
      <c r="FR99" s="1251"/>
    </row>
    <row r="100" spans="1:174" s="1731" customFormat="1" ht="11.25" customHeight="1" x14ac:dyDescent="0.2">
      <c r="A100" s="1656">
        <v>798</v>
      </c>
      <c r="B100" s="1813">
        <v>154</v>
      </c>
      <c r="C100" s="1175"/>
      <c r="D100" s="1676" t="s">
        <v>144</v>
      </c>
      <c r="E100" s="1677" t="s">
        <v>101</v>
      </c>
      <c r="F100" s="1676" t="s">
        <v>381</v>
      </c>
      <c r="G100" s="1678" t="s">
        <v>283</v>
      </c>
      <c r="H100" s="1679" t="s">
        <v>360</v>
      </c>
      <c r="I100" s="1678" t="s">
        <v>343</v>
      </c>
      <c r="J100" s="1679" t="s">
        <v>360</v>
      </c>
      <c r="K100" s="1677" t="s">
        <v>320</v>
      </c>
      <c r="L100" s="1188" t="s">
        <v>434</v>
      </c>
      <c r="M100" s="1658" t="s">
        <v>572</v>
      </c>
      <c r="N100" s="1189"/>
      <c r="O100" s="1659" t="e">
        <v>#N/A</v>
      </c>
      <c r="P100" s="1677"/>
      <c r="Q100" s="1185" t="e">
        <v>#N/A</v>
      </c>
      <c r="R100" s="1680" t="s">
        <v>370</v>
      </c>
      <c r="S100" s="1661" t="s">
        <v>557</v>
      </c>
      <c r="T100" s="1681" t="s">
        <v>300</v>
      </c>
      <c r="U100" s="1682" t="s">
        <v>301</v>
      </c>
      <c r="V100" s="1662" t="s">
        <v>425</v>
      </c>
      <c r="W100" s="1663" t="s">
        <v>301</v>
      </c>
      <c r="X100" s="1662" t="s">
        <v>201</v>
      </c>
      <c r="Y100" s="1193" t="s">
        <v>356</v>
      </c>
      <c r="Z100" s="1193" t="s">
        <v>203</v>
      </c>
      <c r="AA100" s="1658" t="s">
        <v>410</v>
      </c>
      <c r="AB100" s="1683">
        <v>8</v>
      </c>
      <c r="AC100" s="1684" t="s">
        <v>360</v>
      </c>
      <c r="AD100" s="1685">
        <v>12</v>
      </c>
      <c r="AE100" s="1686">
        <v>2.2599999999999998</v>
      </c>
      <c r="AF100" s="1687"/>
      <c r="AG100" s="1687"/>
      <c r="AH100" s="1200" t="s">
        <v>342</v>
      </c>
      <c r="AI100" s="1201" t="s">
        <v>360</v>
      </c>
      <c r="AJ100" s="1202" t="s">
        <v>288</v>
      </c>
      <c r="AK100" s="1201" t="s">
        <v>360</v>
      </c>
      <c r="AL100" s="1203">
        <v>2019</v>
      </c>
      <c r="AM100" s="1221"/>
      <c r="AN100" s="1688"/>
      <c r="AO100" s="1689">
        <v>9</v>
      </c>
      <c r="AP100" s="1690" t="s">
        <v>360</v>
      </c>
      <c r="AQ100" s="1691">
        <v>12</v>
      </c>
      <c r="AR100" s="1188">
        <v>2.44</v>
      </c>
      <c r="AS100" s="1692"/>
      <c r="AT100" s="1693" t="s">
        <v>342</v>
      </c>
      <c r="AU100" s="1178" t="s">
        <v>360</v>
      </c>
      <c r="AV100" s="1695" t="s">
        <v>288</v>
      </c>
      <c r="AW100" s="1694" t="s">
        <v>360</v>
      </c>
      <c r="AX100" s="1705">
        <v>2021</v>
      </c>
      <c r="AY100" s="1725"/>
      <c r="AZ100" s="1696" t="s">
        <v>611</v>
      </c>
      <c r="BA100" s="1818"/>
      <c r="BB100" s="1697">
        <v>2</v>
      </c>
      <c r="BC100" s="1667">
        <v>0</v>
      </c>
      <c r="BD100" s="1668">
        <v>1</v>
      </c>
      <c r="BE100" s="1668">
        <v>0.18</v>
      </c>
      <c r="BF100" s="1698" t="s">
        <v>412</v>
      </c>
      <c r="BG100" s="1699"/>
      <c r="BH100" s="1700"/>
      <c r="BI100" s="1670"/>
      <c r="BJ100" s="1220"/>
      <c r="BK100" s="1671"/>
      <c r="BL100" s="1220"/>
      <c r="BM100" s="1672"/>
      <c r="BN100" s="1221"/>
      <c r="BO100" s="1701"/>
      <c r="BP100" s="1702"/>
      <c r="BQ100" s="1703"/>
      <c r="BR100" s="1219"/>
      <c r="BS100" s="1694"/>
      <c r="BT100" s="1704"/>
      <c r="BU100" s="1694"/>
      <c r="BV100" s="1705"/>
      <c r="BW100" s="1706"/>
      <c r="BX100" s="1707"/>
      <c r="BY100" s="1253" t="s">
        <v>216</v>
      </c>
      <c r="BZ100" s="1698" t="s">
        <v>216</v>
      </c>
      <c r="CA100" s="1228" t="s">
        <v>577</v>
      </c>
      <c r="CB100" s="1708" t="s">
        <v>362</v>
      </c>
      <c r="CC100" s="1709" t="s">
        <v>269</v>
      </c>
      <c r="CD100" s="1658">
        <v>64</v>
      </c>
      <c r="CE100" s="1676" t="s">
        <v>116</v>
      </c>
      <c r="CF100" s="1676"/>
      <c r="CG100" s="1710"/>
      <c r="CH100" s="1676"/>
      <c r="CI100" s="1662"/>
      <c r="CJ100" s="1676" t="s">
        <v>216</v>
      </c>
      <c r="CK100" s="1711" t="s">
        <v>216</v>
      </c>
      <c r="CL100" s="1179"/>
      <c r="CM100" s="1712"/>
      <c r="CN100" s="1179"/>
      <c r="CO100" s="1713"/>
      <c r="CP100" s="1711" t="s">
        <v>216</v>
      </c>
      <c r="CQ100" s="1179"/>
      <c r="CR100" s="1712"/>
      <c r="CS100" s="1179"/>
      <c r="CT100" s="1713"/>
      <c r="CU100" s="1714" t="s">
        <v>116</v>
      </c>
      <c r="CV100" s="1715" t="s">
        <v>57</v>
      </c>
      <c r="CW100" s="1192">
        <v>3</v>
      </c>
      <c r="CX100" s="1716">
        <v>2025</v>
      </c>
      <c r="CY100" s="1192">
        <v>12</v>
      </c>
      <c r="CZ100" s="1716">
        <v>2024</v>
      </c>
      <c r="DA100" s="1192">
        <v>9</v>
      </c>
      <c r="DB100" s="1716">
        <v>2024</v>
      </c>
      <c r="DC100" s="1717" t="s">
        <v>216</v>
      </c>
      <c r="DD100" s="1718" t="s">
        <v>207</v>
      </c>
      <c r="DE100" s="1819"/>
      <c r="DF100" s="1658">
        <v>660</v>
      </c>
      <c r="DG100" s="1658">
        <v>586</v>
      </c>
      <c r="DH100" s="1658">
        <v>44</v>
      </c>
      <c r="DI100" s="1658" t="s">
        <v>406</v>
      </c>
      <c r="DJ100" s="1658"/>
      <c r="DK100" s="1658"/>
      <c r="DL100" s="1698" t="s">
        <v>217</v>
      </c>
      <c r="DM100" s="1179" t="s">
        <v>218</v>
      </c>
      <c r="DN100" s="1719"/>
      <c r="DO100" s="1720"/>
      <c r="DP100" s="1721"/>
      <c r="DQ100" s="1719"/>
      <c r="DR100" s="1719"/>
      <c r="DS100" s="1820"/>
      <c r="DT100" s="1677"/>
      <c r="DU100" s="1724"/>
      <c r="DV100" s="1725"/>
      <c r="DW100" s="1726" t="s">
        <v>370</v>
      </c>
      <c r="DX100" s="1661" t="s">
        <v>416</v>
      </c>
      <c r="DY100" s="1726" t="s">
        <v>368</v>
      </c>
      <c r="DZ100" s="1821" t="s">
        <v>342</v>
      </c>
      <c r="EA100" s="1695" t="s">
        <v>360</v>
      </c>
      <c r="EB100" s="1822" t="s">
        <v>377</v>
      </c>
      <c r="EC100" s="1695" t="s">
        <v>360</v>
      </c>
      <c r="ED100" s="1727">
        <v>2013</v>
      </c>
      <c r="EE100" s="1695">
        <v>0</v>
      </c>
      <c r="EF100" s="1728" t="s">
        <v>216</v>
      </c>
      <c r="EG100" s="1821" t="s">
        <v>342</v>
      </c>
      <c r="EH100" s="1695" t="s">
        <v>360</v>
      </c>
      <c r="EI100" s="1822" t="s">
        <v>377</v>
      </c>
      <c r="EJ100" s="1695" t="s">
        <v>360</v>
      </c>
      <c r="EK100" s="1727">
        <v>2013</v>
      </c>
      <c r="EL100" s="1676"/>
      <c r="EM100" s="1711" t="s">
        <v>216</v>
      </c>
      <c r="EN100" s="1729" t="s">
        <v>116</v>
      </c>
      <c r="EO100" s="1725"/>
      <c r="EP100" s="1675"/>
      <c r="EQ100" s="1675"/>
      <c r="ER100" s="1675"/>
      <c r="ES100" s="1675"/>
      <c r="ET100" s="1675"/>
      <c r="EU100" s="1675"/>
      <c r="EV100" s="1675"/>
      <c r="EW100" s="1675"/>
      <c r="EX100" s="1675"/>
      <c r="EY100" s="1675"/>
      <c r="EZ100" s="1675"/>
      <c r="FA100" s="1675"/>
      <c r="FB100" s="1675"/>
      <c r="FC100" s="1675"/>
      <c r="FD100" s="1675"/>
      <c r="FE100" s="1675"/>
      <c r="FF100" s="1675"/>
      <c r="FG100" s="1675"/>
      <c r="FH100" s="1675"/>
      <c r="FI100" s="1675"/>
      <c r="FJ100" s="1675"/>
      <c r="FK100" s="1675"/>
      <c r="FL100" s="1675"/>
      <c r="FM100" s="1675"/>
      <c r="FN100" s="1823"/>
      <c r="FO100" s="1823"/>
      <c r="FP100" s="1823"/>
      <c r="FQ100" s="1823"/>
      <c r="FR100" s="1823"/>
    </row>
    <row r="101" spans="1:174" s="1251" customFormat="1" ht="11.25" customHeight="1" x14ac:dyDescent="0.2">
      <c r="A101" s="1656">
        <v>801</v>
      </c>
      <c r="B101" s="1185">
        <v>157</v>
      </c>
      <c r="C101" s="1175"/>
      <c r="D101" s="1175" t="s">
        <v>144</v>
      </c>
      <c r="E101" s="1186" t="s">
        <v>102</v>
      </c>
      <c r="F101" s="1175" t="s">
        <v>381</v>
      </c>
      <c r="G101" s="1174" t="s">
        <v>286</v>
      </c>
      <c r="H101" s="1657" t="s">
        <v>360</v>
      </c>
      <c r="I101" s="1174" t="s">
        <v>345</v>
      </c>
      <c r="J101" s="1657" t="s">
        <v>360</v>
      </c>
      <c r="K101" s="1186" t="s">
        <v>323</v>
      </c>
      <c r="L101" s="1188" t="s">
        <v>434</v>
      </c>
      <c r="M101" s="1658" t="s">
        <v>572</v>
      </c>
      <c r="N101" s="1189"/>
      <c r="O101" s="1659" t="e">
        <v>#N/A</v>
      </c>
      <c r="P101" s="1186"/>
      <c r="Q101" s="1185" t="e">
        <v>#N/A</v>
      </c>
      <c r="R101" s="1660" t="s">
        <v>370</v>
      </c>
      <c r="S101" s="1661" t="s">
        <v>557</v>
      </c>
      <c r="T101" s="1190" t="s">
        <v>300</v>
      </c>
      <c r="U101" s="1191" t="s">
        <v>301</v>
      </c>
      <c r="V101" s="1662" t="s">
        <v>425</v>
      </c>
      <c r="W101" s="1663" t="s">
        <v>301</v>
      </c>
      <c r="X101" s="1664" t="s">
        <v>201</v>
      </c>
      <c r="Y101" s="1193" t="s">
        <v>356</v>
      </c>
      <c r="Z101" s="1193" t="s">
        <v>203</v>
      </c>
      <c r="AA101" s="1194" t="s">
        <v>410</v>
      </c>
      <c r="AB101" s="1814">
        <v>11</v>
      </c>
      <c r="AC101" s="1196" t="s">
        <v>360</v>
      </c>
      <c r="AD101" s="1197">
        <v>12</v>
      </c>
      <c r="AE101" s="1198">
        <v>2.8</v>
      </c>
      <c r="AF101" s="1199"/>
      <c r="AG101" s="1199"/>
      <c r="AH101" s="1200" t="s">
        <v>342</v>
      </c>
      <c r="AI101" s="1201" t="s">
        <v>360</v>
      </c>
      <c r="AJ101" s="1202" t="s">
        <v>288</v>
      </c>
      <c r="AK101" s="1201" t="s">
        <v>360</v>
      </c>
      <c r="AL101" s="1203">
        <v>2019</v>
      </c>
      <c r="AM101" s="1204"/>
      <c r="AN101" s="1205"/>
      <c r="AO101" s="1206">
        <v>12</v>
      </c>
      <c r="AP101" s="1207" t="s">
        <v>360</v>
      </c>
      <c r="AQ101" s="1208">
        <v>12</v>
      </c>
      <c r="AR101" s="1209">
        <v>2.98</v>
      </c>
      <c r="AS101" s="1210"/>
      <c r="AT101" s="1211" t="s">
        <v>342</v>
      </c>
      <c r="AU101" s="1212" t="s">
        <v>360</v>
      </c>
      <c r="AV101" s="1213" t="s">
        <v>288</v>
      </c>
      <c r="AW101" s="1212" t="s">
        <v>360</v>
      </c>
      <c r="AX101" s="1187">
        <v>2021</v>
      </c>
      <c r="AY101" s="1176"/>
      <c r="AZ101" s="1214"/>
      <c r="BA101" s="1215"/>
      <c r="BB101" s="1216">
        <v>2</v>
      </c>
      <c r="BC101" s="1667">
        <v>0</v>
      </c>
      <c r="BD101" s="1668">
        <v>1</v>
      </c>
      <c r="BE101" s="1668">
        <v>0.18</v>
      </c>
      <c r="BF101" s="1217" t="s">
        <v>412</v>
      </c>
      <c r="BG101" s="1218"/>
      <c r="BH101" s="1669"/>
      <c r="BI101" s="1670"/>
      <c r="BJ101" s="1220"/>
      <c r="BK101" s="1671"/>
      <c r="BL101" s="1220"/>
      <c r="BM101" s="1672"/>
      <c r="BN101" s="1204"/>
      <c r="BO101" s="1222"/>
      <c r="BP101" s="1223"/>
      <c r="BQ101" s="1224"/>
      <c r="BR101" s="1219"/>
      <c r="BS101" s="1212"/>
      <c r="BT101" s="1673"/>
      <c r="BU101" s="1212"/>
      <c r="BV101" s="1187"/>
      <c r="BW101" s="1226"/>
      <c r="BX101" s="1227"/>
      <c r="BY101" s="1253" t="s">
        <v>216</v>
      </c>
      <c r="BZ101" s="1217" t="s">
        <v>216</v>
      </c>
      <c r="CA101" s="1228" t="s">
        <v>577</v>
      </c>
      <c r="CB101" s="1229" t="s">
        <v>362</v>
      </c>
      <c r="CC101" s="1230" t="s">
        <v>269</v>
      </c>
      <c r="CD101" s="1194">
        <v>64</v>
      </c>
      <c r="CE101" s="1175" t="s">
        <v>116</v>
      </c>
      <c r="CF101" s="1175"/>
      <c r="CG101" s="1254"/>
      <c r="CH101" s="1175"/>
      <c r="CI101" s="1674"/>
      <c r="CJ101" s="1175" t="s">
        <v>216</v>
      </c>
      <c r="CK101" s="1232" t="s">
        <v>216</v>
      </c>
      <c r="CL101" s="1233"/>
      <c r="CM101" s="1234"/>
      <c r="CN101" s="1233"/>
      <c r="CO101" s="1235"/>
      <c r="CP101" s="1232" t="s">
        <v>216</v>
      </c>
      <c r="CQ101" s="1233"/>
      <c r="CR101" s="1234"/>
      <c r="CS101" s="1233"/>
      <c r="CT101" s="1235"/>
      <c r="CU101" s="1236" t="s">
        <v>116</v>
      </c>
      <c r="CV101" s="1237" t="s">
        <v>57</v>
      </c>
      <c r="CW101" s="1238">
        <v>7</v>
      </c>
      <c r="CX101" s="1239">
        <v>2024</v>
      </c>
      <c r="CY101" s="1238">
        <v>4</v>
      </c>
      <c r="CZ101" s="1239">
        <v>2024</v>
      </c>
      <c r="DA101" s="1238">
        <v>1</v>
      </c>
      <c r="DB101" s="1239">
        <v>2024</v>
      </c>
      <c r="DC101" s="1240" t="s">
        <v>216</v>
      </c>
      <c r="DD101" s="1241" t="s">
        <v>207</v>
      </c>
      <c r="DE101" s="1824"/>
      <c r="DF101" s="1194">
        <v>660</v>
      </c>
      <c r="DG101" s="1194">
        <v>594</v>
      </c>
      <c r="DH101" s="1194">
        <v>45</v>
      </c>
      <c r="DI101" s="1194" t="s">
        <v>406</v>
      </c>
      <c r="DJ101" s="1194"/>
      <c r="DK101" s="1194"/>
      <c r="DL101" s="1217" t="s">
        <v>217</v>
      </c>
      <c r="DM101" s="1233" t="s">
        <v>218</v>
      </c>
      <c r="DN101" s="1242"/>
      <c r="DO101" s="1736"/>
      <c r="DP101" s="1243"/>
      <c r="DQ101" s="1242"/>
      <c r="DR101" s="1242"/>
      <c r="DS101" s="1825"/>
      <c r="DT101" s="1186"/>
      <c r="DU101" s="1246"/>
      <c r="DV101" s="1176"/>
      <c r="DW101" s="1247" t="s">
        <v>370</v>
      </c>
      <c r="DX101" s="1661" t="s">
        <v>416</v>
      </c>
      <c r="DY101" s="1247" t="s">
        <v>368</v>
      </c>
      <c r="DZ101" s="1826" t="s">
        <v>342</v>
      </c>
      <c r="EA101" s="1213" t="s">
        <v>360</v>
      </c>
      <c r="EB101" s="1827" t="s">
        <v>377</v>
      </c>
      <c r="EC101" s="1213" t="s">
        <v>360</v>
      </c>
      <c r="ED101" s="1248">
        <v>2013</v>
      </c>
      <c r="EE101" s="1213">
        <v>0</v>
      </c>
      <c r="EF101" s="1249" t="s">
        <v>216</v>
      </c>
      <c r="EG101" s="1826" t="s">
        <v>342</v>
      </c>
      <c r="EH101" s="1213" t="s">
        <v>360</v>
      </c>
      <c r="EI101" s="1827" t="s">
        <v>377</v>
      </c>
      <c r="EJ101" s="1213" t="s">
        <v>360</v>
      </c>
      <c r="EK101" s="1248">
        <v>2013</v>
      </c>
      <c r="EL101" s="1175"/>
      <c r="EM101" s="1232" t="s">
        <v>216</v>
      </c>
      <c r="EN101" s="1250" t="s">
        <v>116</v>
      </c>
      <c r="EO101" s="1176"/>
    </row>
    <row r="102" spans="1:174" s="1251" customFormat="1" ht="11.25" customHeight="1" x14ac:dyDescent="0.2">
      <c r="A102" s="1656"/>
      <c r="B102" s="1813"/>
      <c r="C102" s="1175"/>
      <c r="D102" s="1175"/>
      <c r="E102" s="1186"/>
      <c r="F102" s="1175"/>
      <c r="G102" s="1174"/>
      <c r="H102" s="1657"/>
      <c r="I102" s="1174"/>
      <c r="J102" s="1657"/>
      <c r="K102" s="1186"/>
      <c r="L102" s="1188"/>
      <c r="M102" s="1658"/>
      <c r="N102" s="1189"/>
      <c r="O102" s="1659"/>
      <c r="P102" s="1186"/>
      <c r="Q102" s="1185"/>
      <c r="R102" s="1660"/>
      <c r="S102" s="1661"/>
      <c r="T102" s="1190"/>
      <c r="U102" s="1191"/>
      <c r="V102" s="1662"/>
      <c r="W102" s="1663"/>
      <c r="X102" s="1664"/>
      <c r="Y102" s="1193"/>
      <c r="Z102" s="1193"/>
      <c r="AA102" s="1194"/>
      <c r="AB102" s="1665"/>
      <c r="AC102" s="1196"/>
      <c r="AD102" s="1197"/>
      <c r="AE102" s="1198"/>
      <c r="AF102" s="1199"/>
      <c r="AG102" s="1199"/>
      <c r="AH102" s="1200"/>
      <c r="AI102" s="1201"/>
      <c r="AJ102" s="1202"/>
      <c r="AK102" s="1201"/>
      <c r="AL102" s="1203"/>
      <c r="AM102" s="1204"/>
      <c r="AN102" s="1205"/>
      <c r="AO102" s="1206"/>
      <c r="AP102" s="1207"/>
      <c r="AQ102" s="1208"/>
      <c r="AR102" s="1209"/>
      <c r="AS102" s="1210"/>
      <c r="AT102" s="1211"/>
      <c r="AU102" s="1225"/>
      <c r="AV102" s="1213"/>
      <c r="AW102" s="1212"/>
      <c r="AX102" s="1778"/>
      <c r="AY102" s="1176"/>
      <c r="AZ102" s="1214"/>
      <c r="BA102" s="1215"/>
      <c r="BB102" s="1216"/>
      <c r="BC102" s="1667"/>
      <c r="BD102" s="1668"/>
      <c r="BE102" s="1668"/>
      <c r="BF102" s="1217"/>
      <c r="BG102" s="1218"/>
      <c r="BH102" s="1669"/>
      <c r="BI102" s="1670"/>
      <c r="BJ102" s="1220"/>
      <c r="BK102" s="1671"/>
      <c r="BL102" s="1220"/>
      <c r="BM102" s="1672"/>
      <c r="BN102" s="1204"/>
      <c r="BO102" s="1222"/>
      <c r="BP102" s="1223"/>
      <c r="BQ102" s="1224"/>
      <c r="BR102" s="1219"/>
      <c r="BS102" s="1212"/>
      <c r="BT102" s="1673"/>
      <c r="BU102" s="1212"/>
      <c r="BV102" s="1187"/>
      <c r="BW102" s="1226"/>
      <c r="BX102" s="1227"/>
      <c r="BY102" s="1253"/>
      <c r="BZ102" s="1217"/>
      <c r="CA102" s="1228"/>
      <c r="CB102" s="1229"/>
      <c r="CC102" s="1230"/>
      <c r="CD102" s="1194"/>
      <c r="CE102" s="1175"/>
      <c r="CF102" s="1175"/>
      <c r="CG102" s="1254"/>
      <c r="CH102" s="1175"/>
      <c r="CI102" s="1674"/>
      <c r="CJ102" s="1175"/>
      <c r="CK102" s="1232"/>
      <c r="CL102" s="1233"/>
      <c r="CM102" s="1234"/>
      <c r="CN102" s="1233"/>
      <c r="CO102" s="1235"/>
      <c r="CP102" s="1232"/>
      <c r="CQ102" s="1233"/>
      <c r="CR102" s="1234"/>
      <c r="CS102" s="1233"/>
      <c r="CT102" s="1235"/>
      <c r="CU102" s="1236"/>
      <c r="CV102" s="1237"/>
      <c r="CW102" s="1238"/>
      <c r="CX102" s="1239"/>
      <c r="CY102" s="1238"/>
      <c r="CZ102" s="1239"/>
      <c r="DA102" s="1238"/>
      <c r="DB102" s="1239"/>
      <c r="DC102" s="1240"/>
      <c r="DD102" s="1241"/>
      <c r="DE102" s="1241"/>
      <c r="DF102" s="1194"/>
      <c r="DG102" s="1194"/>
      <c r="DH102" s="1194"/>
      <c r="DI102" s="1194"/>
      <c r="DJ102" s="1194"/>
      <c r="DK102" s="1194"/>
      <c r="DL102" s="1217"/>
      <c r="DM102" s="1233"/>
      <c r="DN102" s="1242"/>
      <c r="DO102" s="1736"/>
      <c r="DP102" s="1243"/>
      <c r="DQ102" s="1242"/>
      <c r="DR102" s="1235"/>
      <c r="DS102" s="1244"/>
      <c r="DT102" s="1245"/>
      <c r="DU102" s="1246"/>
      <c r="DV102" s="1176"/>
      <c r="DW102" s="1247"/>
      <c r="DX102" s="1661"/>
      <c r="DY102" s="1247"/>
      <c r="DZ102" s="1828"/>
      <c r="EA102" s="1213"/>
      <c r="EB102" s="1827"/>
      <c r="EC102" s="1213"/>
      <c r="ED102" s="1248"/>
      <c r="EE102" s="1213"/>
      <c r="EF102" s="1249"/>
      <c r="EG102" s="1828"/>
      <c r="EH102" s="1213"/>
      <c r="EI102" s="1827"/>
      <c r="EJ102" s="1213"/>
      <c r="EK102" s="1248"/>
      <c r="EL102" s="1175"/>
      <c r="EM102" s="1232"/>
      <c r="EN102" s="1250"/>
      <c r="EO102" s="1176"/>
      <c r="FM102" s="1675"/>
    </row>
    <row r="103" spans="1:174" s="1731" customFormat="1" ht="11.25" customHeight="1" x14ac:dyDescent="0.2">
      <c r="A103" s="1656"/>
      <c r="B103" s="1185"/>
      <c r="C103" s="1175"/>
      <c r="D103" s="1175"/>
      <c r="E103" s="1186"/>
      <c r="F103" s="1175"/>
      <c r="G103" s="1174"/>
      <c r="H103" s="1657"/>
      <c r="I103" s="1174"/>
      <c r="J103" s="1657"/>
      <c r="K103" s="1186"/>
      <c r="L103" s="1188"/>
      <c r="M103" s="1658"/>
      <c r="N103" s="1189"/>
      <c r="O103" s="1659"/>
      <c r="P103" s="1186"/>
      <c r="Q103" s="1185"/>
      <c r="R103" s="1660"/>
      <c r="S103" s="1661"/>
      <c r="T103" s="1190"/>
      <c r="U103" s="1191"/>
      <c r="V103" s="1662"/>
      <c r="W103" s="1663"/>
      <c r="X103" s="1664"/>
      <c r="Y103" s="1193"/>
      <c r="Z103" s="1193"/>
      <c r="AA103" s="1194"/>
      <c r="AB103" s="1665"/>
      <c r="AC103" s="1196"/>
      <c r="AD103" s="1197"/>
      <c r="AE103" s="1198"/>
      <c r="AF103" s="1199"/>
      <c r="AG103" s="1199"/>
      <c r="AH103" s="1200"/>
      <c r="AI103" s="1201"/>
      <c r="AJ103" s="1202"/>
      <c r="AK103" s="1201"/>
      <c r="AL103" s="1203"/>
      <c r="AM103" s="1204"/>
      <c r="AN103" s="1205"/>
      <c r="AO103" s="1206"/>
      <c r="AP103" s="1207"/>
      <c r="AQ103" s="1208"/>
      <c r="AR103" s="1209"/>
      <c r="AS103" s="1210"/>
      <c r="AT103" s="1211"/>
      <c r="AU103" s="1212"/>
      <c r="AV103" s="1213"/>
      <c r="AW103" s="1829"/>
      <c r="AX103" s="1187"/>
      <c r="AY103" s="1176"/>
      <c r="AZ103" s="1830"/>
      <c r="BA103" s="1215"/>
      <c r="BB103" s="1216"/>
      <c r="BC103" s="1667"/>
      <c r="BD103" s="1668"/>
      <c r="BE103" s="1668"/>
      <c r="BF103" s="1217"/>
      <c r="BG103" s="1218"/>
      <c r="BH103" s="1669"/>
      <c r="BI103" s="1670"/>
      <c r="BJ103" s="1220"/>
      <c r="BK103" s="1671"/>
      <c r="BL103" s="1220"/>
      <c r="BM103" s="1672"/>
      <c r="BN103" s="1204"/>
      <c r="BO103" s="1222"/>
      <c r="BP103" s="1223"/>
      <c r="BQ103" s="1224"/>
      <c r="BR103" s="1219"/>
      <c r="BS103" s="1212"/>
      <c r="BT103" s="1673"/>
      <c r="BU103" s="1212"/>
      <c r="BV103" s="1187"/>
      <c r="BW103" s="1226"/>
      <c r="BX103" s="1227"/>
      <c r="BY103" s="1253"/>
      <c r="BZ103" s="1217"/>
      <c r="CA103" s="1228"/>
      <c r="CB103" s="1229"/>
      <c r="CC103" s="1230"/>
      <c r="CD103" s="1194"/>
      <c r="CE103" s="1175"/>
      <c r="CF103" s="1175"/>
      <c r="CG103" s="1254"/>
      <c r="CH103" s="1831"/>
      <c r="CI103" s="1674"/>
      <c r="CJ103" s="1175"/>
      <c r="CK103" s="1232"/>
      <c r="CL103" s="1233"/>
      <c r="CM103" s="1234"/>
      <c r="CN103" s="1233"/>
      <c r="CO103" s="1235"/>
      <c r="CP103" s="1232"/>
      <c r="CQ103" s="1233"/>
      <c r="CR103" s="1242"/>
      <c r="CS103" s="1233"/>
      <c r="CT103" s="1235"/>
      <c r="CU103" s="1236"/>
      <c r="CV103" s="1237"/>
      <c r="CW103" s="1238"/>
      <c r="CX103" s="1239"/>
      <c r="CY103" s="1238"/>
      <c r="CZ103" s="1239"/>
      <c r="DA103" s="1238"/>
      <c r="DB103" s="1239"/>
      <c r="DC103" s="1240"/>
      <c r="DD103" s="1241"/>
      <c r="DE103" s="1241"/>
      <c r="DF103" s="1194"/>
      <c r="DG103" s="1194"/>
      <c r="DH103" s="1194"/>
      <c r="DI103" s="1194"/>
      <c r="DJ103" s="1194"/>
      <c r="DK103" s="1194"/>
      <c r="DL103" s="1217"/>
      <c r="DM103" s="1832"/>
      <c r="DN103" s="1833"/>
      <c r="DO103" s="1834"/>
      <c r="DP103" s="1835"/>
      <c r="DQ103" s="1836"/>
      <c r="DR103" s="1833"/>
      <c r="DS103" s="1837"/>
      <c r="DT103" s="1838"/>
      <c r="DU103" s="1246"/>
      <c r="DV103" s="1176"/>
      <c r="DW103" s="1247"/>
      <c r="DX103" s="1661"/>
      <c r="DY103" s="1247"/>
      <c r="DZ103" s="1826"/>
      <c r="EA103" s="1213"/>
      <c r="EB103" s="1839"/>
      <c r="EC103" s="1213"/>
      <c r="ED103" s="1248"/>
      <c r="EE103" s="1213"/>
      <c r="EF103" s="1249"/>
      <c r="EG103" s="1211"/>
      <c r="EH103" s="1213"/>
      <c r="EI103" s="1839"/>
      <c r="EJ103" s="1213"/>
      <c r="EK103" s="1248"/>
      <c r="EL103" s="1175"/>
      <c r="EM103" s="1232"/>
      <c r="EN103" s="1250"/>
      <c r="EO103" s="1176"/>
      <c r="EP103" s="1251"/>
      <c r="EQ103" s="1251"/>
      <c r="ER103" s="1251"/>
      <c r="ES103" s="1251"/>
      <c r="ET103" s="1251"/>
      <c r="EU103" s="1251"/>
      <c r="EV103" s="1251"/>
      <c r="EW103" s="1251"/>
      <c r="EX103" s="1251"/>
      <c r="EY103" s="1251"/>
      <c r="EZ103" s="1251"/>
      <c r="FA103" s="1251"/>
      <c r="FB103" s="1251"/>
      <c r="FC103" s="1251"/>
      <c r="FD103" s="1251"/>
      <c r="FE103" s="1251"/>
      <c r="FF103" s="1251"/>
      <c r="FG103" s="1251"/>
      <c r="FH103" s="1251"/>
      <c r="FI103" s="1251"/>
      <c r="FJ103" s="1251"/>
      <c r="FK103" s="1251"/>
      <c r="FL103" s="1251"/>
      <c r="FM103" s="1251"/>
      <c r="FN103" s="1840"/>
      <c r="FO103" s="1840"/>
      <c r="FP103" s="1840"/>
      <c r="FQ103" s="1840"/>
      <c r="FR103" s="1840"/>
    </row>
    <row r="104" spans="1:174" s="1730" customFormat="1" ht="11.25" customHeight="1" x14ac:dyDescent="0.2">
      <c r="A104" s="1656"/>
      <c r="B104" s="1813"/>
      <c r="C104" s="1676"/>
      <c r="D104" s="1676"/>
      <c r="E104" s="1677"/>
      <c r="F104" s="1676"/>
      <c r="G104" s="1678"/>
      <c r="H104" s="1679"/>
      <c r="I104" s="1678"/>
      <c r="J104" s="1679"/>
      <c r="K104" s="1677"/>
      <c r="L104" s="1186"/>
      <c r="M104" s="1186"/>
      <c r="N104" s="1186"/>
      <c r="O104" s="1186"/>
      <c r="P104" s="1186"/>
      <c r="Q104" s="1186"/>
      <c r="R104" s="1186"/>
      <c r="S104" s="1186"/>
      <c r="T104" s="1681"/>
      <c r="U104" s="1682"/>
      <c r="V104" s="1662"/>
      <c r="W104" s="1663"/>
      <c r="X104" s="1662"/>
      <c r="Y104" s="1193"/>
      <c r="Z104" s="1193"/>
      <c r="AA104" s="1658"/>
      <c r="AB104" s="1683"/>
      <c r="AC104" s="1684"/>
      <c r="AD104" s="1685"/>
      <c r="AE104" s="1686"/>
      <c r="AF104" s="1687"/>
      <c r="AG104" s="1841"/>
      <c r="AH104" s="1200"/>
      <c r="AI104" s="1842"/>
      <c r="AJ104" s="1202"/>
      <c r="AK104" s="1201"/>
      <c r="AL104" s="1203"/>
      <c r="AM104" s="1221"/>
      <c r="AN104" s="1688"/>
      <c r="AO104" s="1843"/>
      <c r="AP104" s="1177"/>
      <c r="AQ104" s="1691"/>
      <c r="AR104" s="1188"/>
      <c r="AS104" s="1692"/>
      <c r="AT104" s="1693"/>
      <c r="AU104" s="1844"/>
      <c r="AV104" s="1695"/>
      <c r="AW104" s="1694"/>
      <c r="AX104" s="1845"/>
      <c r="AY104" s="1176"/>
      <c r="AZ104" s="1696"/>
      <c r="BA104" s="1215"/>
      <c r="BB104" s="1697"/>
      <c r="BC104" s="1667"/>
      <c r="BD104" s="1668"/>
      <c r="BE104" s="1668"/>
      <c r="BF104" s="1698"/>
      <c r="BG104" s="1846"/>
      <c r="BH104" s="1847"/>
      <c r="BI104" s="1670"/>
      <c r="BJ104" s="1220"/>
      <c r="BK104" s="1671"/>
      <c r="BL104" s="1220"/>
      <c r="BM104" s="1672"/>
      <c r="BN104" s="1221"/>
      <c r="BO104" s="1701"/>
      <c r="BP104" s="1848"/>
      <c r="BQ104" s="1849"/>
      <c r="BR104" s="1219"/>
      <c r="BS104" s="1212"/>
      <c r="BT104" s="1704"/>
      <c r="BU104" s="1850"/>
      <c r="BV104" s="1705"/>
      <c r="BW104" s="1706"/>
      <c r="BX104" s="1707"/>
      <c r="BY104" s="1253"/>
      <c r="BZ104" s="1698"/>
      <c r="CA104" s="1228"/>
      <c r="CB104" s="1708"/>
      <c r="CC104" s="1709"/>
      <c r="CD104" s="1658"/>
      <c r="CE104" s="1676"/>
      <c r="CF104" s="1676"/>
      <c r="CG104" s="1710"/>
      <c r="CH104" s="1676"/>
      <c r="CI104" s="1662"/>
      <c r="CJ104" s="1676"/>
      <c r="CK104" s="1711"/>
      <c r="CL104" s="1179"/>
      <c r="CM104" s="1712"/>
      <c r="CN104" s="1179"/>
      <c r="CO104" s="1713"/>
      <c r="CP104" s="1711"/>
      <c r="CQ104" s="1179"/>
      <c r="CR104" s="1712"/>
      <c r="CS104" s="1179"/>
      <c r="CT104" s="1713"/>
      <c r="CU104" s="1714"/>
      <c r="CV104" s="1715"/>
      <c r="CW104" s="1192"/>
      <c r="CX104" s="1716"/>
      <c r="CY104" s="1192"/>
      <c r="CZ104" s="1716"/>
      <c r="DA104" s="1192"/>
      <c r="DB104" s="1716"/>
      <c r="DC104" s="1717"/>
      <c r="DD104" s="1718"/>
      <c r="DE104" s="1718"/>
      <c r="DF104" s="1658"/>
      <c r="DG104" s="1658"/>
      <c r="DH104" s="1658"/>
      <c r="DI104" s="1658"/>
      <c r="DJ104" s="1658"/>
      <c r="DK104" s="1658"/>
      <c r="DL104" s="1698"/>
      <c r="DM104" s="1179"/>
      <c r="DN104" s="1719"/>
      <c r="DO104" s="1676"/>
      <c r="DP104" s="1721"/>
      <c r="DQ104" s="1719"/>
      <c r="DR104" s="1713"/>
      <c r="DS104" s="1722"/>
      <c r="DT104" s="1723"/>
      <c r="DU104" s="1724"/>
      <c r="DV104" s="1725"/>
      <c r="DW104" s="1726"/>
      <c r="DX104" s="1661"/>
      <c r="DY104" s="1726"/>
      <c r="DZ104" s="1693"/>
      <c r="EA104" s="1695"/>
      <c r="EB104" s="1822"/>
      <c r="EC104" s="1695"/>
      <c r="ED104" s="1727"/>
      <c r="EE104" s="1695"/>
      <c r="EF104" s="1728"/>
      <c r="EG104" s="1693"/>
      <c r="EH104" s="1695"/>
      <c r="EI104" s="1822"/>
      <c r="EJ104" s="1695"/>
      <c r="EK104" s="1727"/>
      <c r="EL104" s="1676"/>
      <c r="EM104" s="1711"/>
      <c r="EN104" s="1729"/>
      <c r="EO104" s="1725"/>
      <c r="EP104" s="1675"/>
      <c r="EQ104" s="1675"/>
      <c r="ER104" s="1675"/>
      <c r="ES104" s="1675"/>
      <c r="ET104" s="1675"/>
      <c r="EU104" s="1675"/>
      <c r="EV104" s="1675"/>
      <c r="EW104" s="1675"/>
      <c r="EX104" s="1675"/>
      <c r="EY104" s="1675"/>
      <c r="EZ104" s="1675"/>
      <c r="FA104" s="1675"/>
      <c r="FB104" s="1675"/>
      <c r="FC104" s="1675"/>
      <c r="FD104" s="1675"/>
      <c r="FE104" s="1675"/>
      <c r="FF104" s="1675"/>
      <c r="FG104" s="1675"/>
      <c r="FH104" s="1675"/>
      <c r="FI104" s="1675"/>
      <c r="FJ104" s="1675"/>
      <c r="FK104" s="1675"/>
      <c r="FL104" s="1675"/>
      <c r="FM104" s="1675"/>
      <c r="FN104" s="1851"/>
      <c r="FO104" s="1851"/>
      <c r="FP104" s="1851"/>
      <c r="FQ104" s="1851"/>
      <c r="FR104" s="1851"/>
    </row>
    <row r="105" spans="1:174" s="1251" customFormat="1" ht="11.25" customHeight="1" x14ac:dyDescent="0.2">
      <c r="A105" s="1656"/>
      <c r="B105" s="1185"/>
      <c r="C105" s="1175"/>
      <c r="D105" s="1175"/>
      <c r="E105" s="1186"/>
      <c r="F105" s="1175"/>
      <c r="G105" s="1174"/>
      <c r="H105" s="1657"/>
      <c r="I105" s="1174"/>
      <c r="J105" s="1657"/>
      <c r="K105" s="1186"/>
      <c r="L105" s="1186"/>
      <c r="M105" s="1186"/>
      <c r="N105" s="1186"/>
      <c r="O105" s="1186"/>
      <c r="P105" s="1186"/>
      <c r="Q105" s="1186"/>
      <c r="R105" s="1186"/>
      <c r="S105" s="1186"/>
      <c r="T105" s="1190"/>
      <c r="U105" s="1191"/>
      <c r="V105" s="1662"/>
      <c r="W105" s="1663"/>
      <c r="X105" s="1664"/>
      <c r="Y105" s="1193"/>
      <c r="Z105" s="1193"/>
      <c r="AA105" s="1194"/>
      <c r="AB105" s="1665"/>
      <c r="AC105" s="1196"/>
      <c r="AD105" s="1197"/>
      <c r="AE105" s="1198"/>
      <c r="AF105" s="1199"/>
      <c r="AG105" s="1202"/>
      <c r="AH105" s="1200"/>
      <c r="AI105" s="1201"/>
      <c r="AJ105" s="1202"/>
      <c r="AK105" s="1201"/>
      <c r="AL105" s="1203"/>
      <c r="AM105" s="1204"/>
      <c r="AN105" s="1205"/>
      <c r="AO105" s="1852"/>
      <c r="AP105" s="1853"/>
      <c r="AQ105" s="1208"/>
      <c r="AR105" s="1209"/>
      <c r="AS105" s="1210"/>
      <c r="AT105" s="1211"/>
      <c r="AU105" s="1854"/>
      <c r="AV105" s="1213"/>
      <c r="AW105" s="1212"/>
      <c r="AX105" s="1845"/>
      <c r="AY105" s="1176"/>
      <c r="AZ105" s="1666"/>
      <c r="BA105" s="1215"/>
      <c r="BB105" s="1216"/>
      <c r="BC105" s="1667"/>
      <c r="BD105" s="1668"/>
      <c r="BE105" s="1668"/>
      <c r="BF105" s="1217"/>
      <c r="BG105" s="1218"/>
      <c r="BH105" s="1669"/>
      <c r="BI105" s="1670"/>
      <c r="BJ105" s="1220"/>
      <c r="BK105" s="1671"/>
      <c r="BL105" s="1220"/>
      <c r="BM105" s="1672"/>
      <c r="BN105" s="1204"/>
      <c r="BO105" s="1222"/>
      <c r="BP105" s="1223"/>
      <c r="BQ105" s="1224"/>
      <c r="BR105" s="1219"/>
      <c r="BS105" s="1212"/>
      <c r="BT105" s="1673"/>
      <c r="BU105" s="1212"/>
      <c r="BV105" s="1187"/>
      <c r="BW105" s="1226"/>
      <c r="BX105" s="1227"/>
      <c r="BY105" s="1253"/>
      <c r="BZ105" s="1217"/>
      <c r="CA105" s="1228"/>
      <c r="CB105" s="1229"/>
      <c r="CC105" s="1230"/>
      <c r="CD105" s="1194"/>
      <c r="CE105" s="1175"/>
      <c r="CF105" s="1175"/>
      <c r="CG105" s="1254"/>
      <c r="CH105" s="1175"/>
      <c r="CI105" s="1674"/>
      <c r="CJ105" s="1175"/>
      <c r="CK105" s="1232"/>
      <c r="CL105" s="1233"/>
      <c r="CM105" s="1234"/>
      <c r="CN105" s="1233"/>
      <c r="CO105" s="1235"/>
      <c r="CP105" s="1232"/>
      <c r="CQ105" s="1233"/>
      <c r="CR105" s="1234"/>
      <c r="CS105" s="1233"/>
      <c r="CT105" s="1235"/>
      <c r="CU105" s="1236"/>
      <c r="CV105" s="1237"/>
      <c r="CW105" s="1238"/>
      <c r="CX105" s="1239"/>
      <c r="CY105" s="1238"/>
      <c r="CZ105" s="1239"/>
      <c r="DA105" s="1238"/>
      <c r="DB105" s="1239"/>
      <c r="DC105" s="1240"/>
      <c r="DD105" s="1241"/>
      <c r="DE105" s="1241"/>
      <c r="DF105" s="1194"/>
      <c r="DG105" s="1194"/>
      <c r="DH105" s="1194"/>
      <c r="DI105" s="1194"/>
      <c r="DJ105" s="1855"/>
      <c r="DK105" s="1194"/>
      <c r="DL105" s="1217"/>
      <c r="DM105" s="1233"/>
      <c r="DN105" s="1242"/>
      <c r="DO105" s="1175"/>
      <c r="DP105" s="1243"/>
      <c r="DQ105" s="1242"/>
      <c r="DR105" s="1235"/>
      <c r="DS105" s="1244"/>
      <c r="DT105" s="1245"/>
      <c r="DU105" s="1246"/>
      <c r="DV105" s="1176"/>
      <c r="DW105" s="1247"/>
      <c r="DX105" s="1661"/>
      <c r="DY105" s="1247"/>
      <c r="DZ105" s="1826"/>
      <c r="EA105" s="1213"/>
      <c r="EB105" s="1839"/>
      <c r="EC105" s="1213"/>
      <c r="ED105" s="1248"/>
      <c r="EE105" s="1213"/>
      <c r="EF105" s="1249"/>
      <c r="EG105" s="1826"/>
      <c r="EH105" s="1213"/>
      <c r="EI105" s="1839"/>
      <c r="EJ105" s="1213"/>
      <c r="EK105" s="1248"/>
      <c r="EL105" s="1175"/>
      <c r="EM105" s="1232"/>
      <c r="EN105" s="1250"/>
      <c r="EO105" s="1176"/>
      <c r="FN105" s="1675"/>
      <c r="FO105" s="1675"/>
      <c r="FP105" s="1675"/>
      <c r="FQ105" s="1675"/>
      <c r="FR105" s="1675"/>
    </row>
    <row r="106" spans="1:174" s="1251" customFormat="1" ht="11.25" customHeight="1" x14ac:dyDescent="0.2">
      <c r="A106" s="1656"/>
      <c r="B106" s="1185"/>
      <c r="C106" s="1175"/>
      <c r="D106" s="1175"/>
      <c r="E106" s="1856"/>
      <c r="F106" s="1175"/>
      <c r="G106" s="1174"/>
      <c r="H106" s="1657"/>
      <c r="I106" s="1174"/>
      <c r="J106" s="1657"/>
      <c r="K106" s="1186"/>
      <c r="L106" s="1188"/>
      <c r="M106" s="1658"/>
      <c r="N106" s="1189"/>
      <c r="O106" s="1659"/>
      <c r="P106" s="1186"/>
      <c r="Q106" s="1185"/>
      <c r="R106" s="1186"/>
      <c r="S106" s="1857"/>
      <c r="T106" s="1190"/>
      <c r="U106" s="1191"/>
      <c r="V106" s="1662"/>
      <c r="W106" s="1663"/>
      <c r="X106" s="1664"/>
      <c r="Y106" s="1193"/>
      <c r="Z106" s="1193"/>
      <c r="AA106" s="1194"/>
      <c r="AB106" s="1665"/>
      <c r="AC106" s="1196"/>
      <c r="AD106" s="1197"/>
      <c r="AE106" s="1198"/>
      <c r="AF106" s="1199"/>
      <c r="AG106" s="1199"/>
      <c r="AH106" s="1200"/>
      <c r="AI106" s="1842"/>
      <c r="AJ106" s="1202"/>
      <c r="AK106" s="1201"/>
      <c r="AL106" s="1203"/>
      <c r="AM106" s="1204"/>
      <c r="AN106" s="1205"/>
      <c r="AO106" s="1852"/>
      <c r="AP106" s="1853"/>
      <c r="AQ106" s="1208"/>
      <c r="AR106" s="1209"/>
      <c r="AS106" s="1209"/>
      <c r="AT106" s="1211"/>
      <c r="AU106" s="1858"/>
      <c r="AV106" s="1213"/>
      <c r="AW106" s="1212"/>
      <c r="AX106" s="1845"/>
      <c r="AY106" s="1176"/>
      <c r="AZ106" s="1666"/>
      <c r="BA106" s="1215"/>
      <c r="BB106" s="1216"/>
      <c r="BC106" s="1667"/>
      <c r="BD106" s="1859"/>
      <c r="BE106" s="1668"/>
      <c r="BF106" s="1217"/>
      <c r="BG106" s="1218"/>
      <c r="BH106" s="1669"/>
      <c r="BI106" s="1670"/>
      <c r="BJ106" s="1220"/>
      <c r="BK106" s="1671"/>
      <c r="BL106" s="1220"/>
      <c r="BM106" s="1672"/>
      <c r="BN106" s="1204"/>
      <c r="BO106" s="1222"/>
      <c r="BP106" s="1223"/>
      <c r="BQ106" s="1224"/>
      <c r="BR106" s="1219"/>
      <c r="BS106" s="1212"/>
      <c r="BT106" s="1673"/>
      <c r="BU106" s="1212"/>
      <c r="BV106" s="1187"/>
      <c r="BW106" s="1226"/>
      <c r="BX106" s="1227"/>
      <c r="BY106" s="1253"/>
      <c r="BZ106" s="1217"/>
      <c r="CA106" s="1228"/>
      <c r="CB106" s="1229"/>
      <c r="CC106" s="1230"/>
      <c r="CD106" s="1194"/>
      <c r="CE106" s="1175"/>
      <c r="CF106" s="1175"/>
      <c r="CG106" s="1254"/>
      <c r="CH106" s="1175"/>
      <c r="CI106" s="1175"/>
      <c r="CJ106" s="1175"/>
      <c r="CK106" s="1232"/>
      <c r="CL106" s="1233"/>
      <c r="CM106" s="1234"/>
      <c r="CN106" s="1233"/>
      <c r="CO106" s="1235"/>
      <c r="CP106" s="1232"/>
      <c r="CQ106" s="1233"/>
      <c r="CR106" s="1234"/>
      <c r="CS106" s="1233"/>
      <c r="CT106" s="1235"/>
      <c r="CU106" s="1236"/>
      <c r="CV106" s="1237"/>
      <c r="CW106" s="1238"/>
      <c r="CX106" s="1239"/>
      <c r="CY106" s="1238"/>
      <c r="CZ106" s="1239"/>
      <c r="DA106" s="1238"/>
      <c r="DB106" s="1239"/>
      <c r="DC106" s="1240"/>
      <c r="DD106" s="1241"/>
      <c r="DE106" s="1241"/>
      <c r="DF106" s="1194"/>
      <c r="DG106" s="1194"/>
      <c r="DH106" s="1194"/>
      <c r="DI106" s="1194"/>
      <c r="DJ106" s="1194"/>
      <c r="DK106" s="1194"/>
      <c r="DL106" s="1217"/>
      <c r="DM106" s="1233"/>
      <c r="DN106" s="1242"/>
      <c r="DO106" s="1736"/>
      <c r="DP106" s="1243"/>
      <c r="DQ106" s="1242"/>
      <c r="DR106" s="1242"/>
      <c r="DS106" s="1825"/>
      <c r="DT106" s="1186"/>
      <c r="DU106" s="1246"/>
      <c r="DV106" s="1176"/>
      <c r="DW106" s="1247"/>
      <c r="DX106" s="1661"/>
      <c r="DY106" s="1247"/>
      <c r="DZ106" s="1860"/>
      <c r="EA106" s="1213"/>
      <c r="EB106" s="1827"/>
      <c r="EC106" s="1213"/>
      <c r="ED106" s="1248"/>
      <c r="EE106" s="1213"/>
      <c r="EF106" s="1249"/>
      <c r="EG106" s="1860"/>
      <c r="EH106" s="1213"/>
      <c r="EI106" s="1827"/>
      <c r="EJ106" s="1213"/>
      <c r="EK106" s="1248"/>
      <c r="EL106" s="1175"/>
      <c r="EM106" s="1232"/>
      <c r="EN106" s="1250"/>
      <c r="EO106" s="1176"/>
      <c r="FN106" s="1675"/>
      <c r="FO106" s="1675"/>
      <c r="FP106" s="1675"/>
      <c r="FQ106" s="1675"/>
      <c r="FR106" s="1675"/>
    </row>
    <row r="107" spans="1:174" s="1867" customFormat="1" ht="11.25" customHeight="1" x14ac:dyDescent="0.2">
      <c r="A107" s="1656"/>
      <c r="B107" s="1185"/>
      <c r="C107" s="1175"/>
      <c r="D107" s="1676"/>
      <c r="E107" s="1677"/>
      <c r="F107" s="1676"/>
      <c r="G107" s="1678"/>
      <c r="H107" s="1679"/>
      <c r="I107" s="1678"/>
      <c r="J107" s="1679"/>
      <c r="K107" s="1677"/>
      <c r="L107" s="1188"/>
      <c r="M107" s="1658"/>
      <c r="N107" s="1189"/>
      <c r="O107" s="1659"/>
      <c r="P107" s="1677"/>
      <c r="Q107" s="1185"/>
      <c r="R107" s="1677"/>
      <c r="S107" s="1861"/>
      <c r="T107" s="1681"/>
      <c r="U107" s="1682"/>
      <c r="V107" s="1662"/>
      <c r="W107" s="1663"/>
      <c r="X107" s="1662"/>
      <c r="Y107" s="1193"/>
      <c r="Z107" s="1193"/>
      <c r="AA107" s="1658"/>
      <c r="AB107" s="1862"/>
      <c r="AC107" s="1684"/>
      <c r="AD107" s="1685"/>
      <c r="AE107" s="1686"/>
      <c r="AF107" s="1687"/>
      <c r="AG107" s="1841"/>
      <c r="AH107" s="1863"/>
      <c r="AI107" s="1201"/>
      <c r="AJ107" s="1841"/>
      <c r="AK107" s="1201"/>
      <c r="AL107" s="1864"/>
      <c r="AM107" s="1221"/>
      <c r="AN107" s="1688"/>
      <c r="AO107" s="1843"/>
      <c r="AP107" s="1177"/>
      <c r="AQ107" s="1691"/>
      <c r="AR107" s="1188"/>
      <c r="AS107" s="1692"/>
      <c r="AT107" s="1693"/>
      <c r="AU107" s="1694"/>
      <c r="AV107" s="1695"/>
      <c r="AW107" s="1694"/>
      <c r="AX107" s="1845"/>
      <c r="AY107" s="1725"/>
      <c r="AZ107" s="1696"/>
      <c r="BA107" s="1818"/>
      <c r="BB107" s="1697"/>
      <c r="BC107" s="1667"/>
      <c r="BD107" s="1668"/>
      <c r="BE107" s="1668"/>
      <c r="BF107" s="1698"/>
      <c r="BG107" s="1699"/>
      <c r="BH107" s="1700"/>
      <c r="BI107" s="1670"/>
      <c r="BJ107" s="1220"/>
      <c r="BK107" s="1671"/>
      <c r="BL107" s="1220"/>
      <c r="BM107" s="1672"/>
      <c r="BN107" s="1221"/>
      <c r="BO107" s="1701"/>
      <c r="BP107" s="1702"/>
      <c r="BQ107" s="1703"/>
      <c r="BR107" s="1219"/>
      <c r="BS107" s="1694"/>
      <c r="BT107" s="1704"/>
      <c r="BU107" s="1694"/>
      <c r="BV107" s="1705"/>
      <c r="BW107" s="1706"/>
      <c r="BX107" s="1707"/>
      <c r="BY107" s="1253"/>
      <c r="BZ107" s="1698"/>
      <c r="CA107" s="1228"/>
      <c r="CB107" s="1708"/>
      <c r="CC107" s="1709"/>
      <c r="CD107" s="1658"/>
      <c r="CE107" s="1676"/>
      <c r="CF107" s="1676"/>
      <c r="CG107" s="1710"/>
      <c r="CH107" s="1676"/>
      <c r="CI107" s="1676"/>
      <c r="CJ107" s="1676"/>
      <c r="CK107" s="1711"/>
      <c r="CL107" s="1179"/>
      <c r="CM107" s="1712"/>
      <c r="CN107" s="1179"/>
      <c r="CO107" s="1713"/>
      <c r="CP107" s="1711"/>
      <c r="CQ107" s="1179"/>
      <c r="CR107" s="1712"/>
      <c r="CS107" s="1179"/>
      <c r="CT107" s="1713"/>
      <c r="CU107" s="1714"/>
      <c r="CV107" s="1715"/>
      <c r="CW107" s="1192"/>
      <c r="CX107" s="1716"/>
      <c r="CY107" s="1192"/>
      <c r="CZ107" s="1716"/>
      <c r="DA107" s="1192"/>
      <c r="DB107" s="1716"/>
      <c r="DC107" s="1717"/>
      <c r="DD107" s="1718"/>
      <c r="DE107" s="1718"/>
      <c r="DF107" s="1658"/>
      <c r="DG107" s="1658"/>
      <c r="DH107" s="1658"/>
      <c r="DI107" s="1658"/>
      <c r="DJ107" s="1865"/>
      <c r="DK107" s="1658"/>
      <c r="DL107" s="1698"/>
      <c r="DM107" s="1179"/>
      <c r="DN107" s="1719"/>
      <c r="DO107" s="1720"/>
      <c r="DP107" s="1866"/>
      <c r="DQ107" s="1713"/>
      <c r="DR107" s="1713"/>
      <c r="DS107" s="1722"/>
      <c r="DT107" s="1723"/>
      <c r="DU107" s="1724"/>
      <c r="DV107" s="1725"/>
      <c r="DW107" s="1726"/>
      <c r="DX107" s="1661"/>
      <c r="DY107" s="1726"/>
      <c r="DZ107" s="1693"/>
      <c r="EA107" s="1695"/>
      <c r="EB107" s="1695"/>
      <c r="EC107" s="1695"/>
      <c r="ED107" s="1727"/>
      <c r="EE107" s="1695"/>
      <c r="EF107" s="1728"/>
      <c r="EG107" s="1693"/>
      <c r="EH107" s="1695"/>
      <c r="EI107" s="1695"/>
      <c r="EJ107" s="1695"/>
      <c r="EK107" s="1727"/>
      <c r="EL107" s="1676"/>
      <c r="EM107" s="1711"/>
      <c r="EN107" s="1729"/>
      <c r="EO107" s="1725"/>
      <c r="EP107" s="1675"/>
      <c r="EQ107" s="1675"/>
      <c r="ER107" s="1675"/>
      <c r="ES107" s="1675"/>
      <c r="ET107" s="1675"/>
      <c r="EU107" s="1675"/>
      <c r="EV107" s="1675"/>
      <c r="EW107" s="1675"/>
      <c r="EX107" s="1675"/>
      <c r="EY107" s="1675"/>
      <c r="EZ107" s="1675"/>
      <c r="FA107" s="1675"/>
      <c r="FB107" s="1675"/>
      <c r="FC107" s="1675"/>
      <c r="FD107" s="1675"/>
      <c r="FE107" s="1675"/>
      <c r="FF107" s="1675"/>
      <c r="FG107" s="1675"/>
      <c r="FH107" s="1675"/>
      <c r="FI107" s="1675"/>
      <c r="FJ107" s="1675"/>
      <c r="FK107" s="1675"/>
      <c r="FL107" s="1675"/>
      <c r="FM107" s="1675"/>
      <c r="FN107" s="1251"/>
      <c r="FO107" s="1251"/>
      <c r="FP107" s="1251"/>
      <c r="FQ107" s="1251"/>
      <c r="FR107" s="1251"/>
    </row>
    <row r="108" spans="1:174" s="1251" customFormat="1" ht="11.25" customHeight="1" x14ac:dyDescent="0.2">
      <c r="A108" s="1656"/>
      <c r="B108" s="1185"/>
      <c r="C108" s="1175"/>
      <c r="D108" s="1175"/>
      <c r="E108" s="1186"/>
      <c r="F108" s="1175"/>
      <c r="G108" s="1174"/>
      <c r="H108" s="1657"/>
      <c r="I108" s="1174"/>
      <c r="J108" s="1657"/>
      <c r="K108" s="1186"/>
      <c r="L108" s="1188"/>
      <c r="M108" s="1658"/>
      <c r="N108" s="1189"/>
      <c r="O108" s="1659"/>
      <c r="P108" s="1186"/>
      <c r="Q108" s="1185"/>
      <c r="R108" s="1186"/>
      <c r="S108" s="1861"/>
      <c r="T108" s="1190"/>
      <c r="U108" s="1191"/>
      <c r="V108" s="1662"/>
      <c r="W108" s="1663"/>
      <c r="X108" s="1664"/>
      <c r="Y108" s="1193"/>
      <c r="Z108" s="1193"/>
      <c r="AA108" s="1194"/>
      <c r="AB108" s="1195"/>
      <c r="AC108" s="1196"/>
      <c r="AD108" s="1197"/>
      <c r="AE108" s="1198"/>
      <c r="AF108" s="1199"/>
      <c r="AG108" s="1199"/>
      <c r="AH108" s="1200"/>
      <c r="AI108" s="1201"/>
      <c r="AJ108" s="1202"/>
      <c r="AK108" s="1201"/>
      <c r="AL108" s="1868"/>
      <c r="AM108" s="1204"/>
      <c r="AN108" s="1205"/>
      <c r="AO108" s="1852"/>
      <c r="AP108" s="1853"/>
      <c r="AQ108" s="1208"/>
      <c r="AR108" s="1209"/>
      <c r="AS108" s="1210"/>
      <c r="AT108" s="1211"/>
      <c r="AU108" s="1212"/>
      <c r="AV108" s="1213"/>
      <c r="AW108" s="1212"/>
      <c r="AX108" s="1845"/>
      <c r="AY108" s="1176"/>
      <c r="AZ108" s="1214"/>
      <c r="BA108" s="1215"/>
      <c r="BB108" s="1216"/>
      <c r="BC108" s="1667"/>
      <c r="BD108" s="1668"/>
      <c r="BE108" s="1668"/>
      <c r="BF108" s="1217"/>
      <c r="BG108" s="1218"/>
      <c r="BH108" s="1669"/>
      <c r="BI108" s="1670"/>
      <c r="BJ108" s="1220"/>
      <c r="BK108" s="1671"/>
      <c r="BL108" s="1220"/>
      <c r="BM108" s="1672"/>
      <c r="BN108" s="1204"/>
      <c r="BO108" s="1222"/>
      <c r="BP108" s="1223"/>
      <c r="BQ108" s="1224"/>
      <c r="BR108" s="1219"/>
      <c r="BS108" s="1212"/>
      <c r="BT108" s="1673"/>
      <c r="BU108" s="1212"/>
      <c r="BV108" s="1187"/>
      <c r="BW108" s="1226"/>
      <c r="BX108" s="1227"/>
      <c r="BY108" s="1253"/>
      <c r="BZ108" s="1217"/>
      <c r="CA108" s="1228"/>
      <c r="CB108" s="1229"/>
      <c r="CC108" s="1230"/>
      <c r="CD108" s="1194"/>
      <c r="CE108" s="1175"/>
      <c r="CF108" s="1175"/>
      <c r="CG108" s="1254"/>
      <c r="CH108" s="1175"/>
      <c r="CI108" s="1175"/>
      <c r="CJ108" s="1175"/>
      <c r="CK108" s="1232"/>
      <c r="CL108" s="1233"/>
      <c r="CM108" s="1234"/>
      <c r="CN108" s="1233"/>
      <c r="CO108" s="1235"/>
      <c r="CP108" s="1232"/>
      <c r="CQ108" s="1233"/>
      <c r="CR108" s="1234"/>
      <c r="CS108" s="1233"/>
      <c r="CT108" s="1235"/>
      <c r="CU108" s="1236"/>
      <c r="CV108" s="1237"/>
      <c r="CW108" s="1238"/>
      <c r="CX108" s="1239"/>
      <c r="CY108" s="1238"/>
      <c r="CZ108" s="1239"/>
      <c r="DA108" s="1238"/>
      <c r="DB108" s="1239"/>
      <c r="DC108" s="1240"/>
      <c r="DD108" s="1241"/>
      <c r="DE108" s="1241"/>
      <c r="DF108" s="1194"/>
      <c r="DG108" s="1194"/>
      <c r="DH108" s="1194"/>
      <c r="DI108" s="1194"/>
      <c r="DJ108" s="1194"/>
      <c r="DK108" s="1194"/>
      <c r="DL108" s="1217"/>
      <c r="DM108" s="1233"/>
      <c r="DN108" s="1242"/>
      <c r="DO108" s="1175"/>
      <c r="DP108" s="1816"/>
      <c r="DQ108" s="1235"/>
      <c r="DR108" s="1235"/>
      <c r="DS108" s="1244"/>
      <c r="DT108" s="1245"/>
      <c r="DU108" s="1246"/>
      <c r="DV108" s="1176"/>
      <c r="DW108" s="1247"/>
      <c r="DX108" s="1661"/>
      <c r="DY108" s="1247"/>
      <c r="DZ108" s="1211"/>
      <c r="EA108" s="1213"/>
      <c r="EB108" s="1869"/>
      <c r="EC108" s="1213"/>
      <c r="ED108" s="1248"/>
      <c r="EE108" s="1213"/>
      <c r="EF108" s="1249"/>
      <c r="EG108" s="1211"/>
      <c r="EH108" s="1213"/>
      <c r="EI108" s="1869"/>
      <c r="EJ108" s="1213"/>
      <c r="EK108" s="1248"/>
      <c r="EL108" s="1175"/>
      <c r="EM108" s="1232"/>
      <c r="EN108" s="1250"/>
      <c r="EO108" s="1176"/>
      <c r="EP108" s="1870"/>
      <c r="EQ108" s="1870"/>
      <c r="ER108" s="1870"/>
      <c r="ES108" s="1870"/>
      <c r="ET108" s="1870"/>
      <c r="EU108" s="1870"/>
      <c r="EV108" s="1870"/>
      <c r="EW108" s="1870"/>
      <c r="EX108" s="1870"/>
      <c r="EY108" s="1870"/>
      <c r="EZ108" s="1870"/>
      <c r="FA108" s="1870"/>
      <c r="FB108" s="1870"/>
      <c r="FC108" s="1870"/>
      <c r="FD108" s="1870"/>
      <c r="FE108" s="1870"/>
      <c r="FF108" s="1870"/>
      <c r="FG108" s="1870"/>
      <c r="FH108" s="1870"/>
      <c r="FI108" s="1870"/>
      <c r="FJ108" s="1870"/>
      <c r="FK108" s="1870"/>
      <c r="FL108" s="1870"/>
      <c r="FM108" s="1840"/>
    </row>
    <row r="109" spans="1:174" s="1251" customFormat="1" ht="11.25" customHeight="1" x14ac:dyDescent="0.2">
      <c r="A109" s="1656"/>
      <c r="B109" s="1813"/>
      <c r="C109" s="1737"/>
      <c r="D109" s="1737"/>
      <c r="E109" s="1738"/>
      <c r="F109" s="1737"/>
      <c r="G109" s="1739"/>
      <c r="H109" s="1740"/>
      <c r="I109" s="1739"/>
      <c r="J109" s="1740"/>
      <c r="K109" s="1741"/>
      <c r="L109" s="1742"/>
      <c r="M109" s="1743"/>
      <c r="N109" s="1744"/>
      <c r="O109" s="1745"/>
      <c r="P109" s="1741"/>
      <c r="Q109" s="1746"/>
      <c r="R109" s="1747"/>
      <c r="S109" s="1748"/>
      <c r="T109" s="1749"/>
      <c r="U109" s="1750"/>
      <c r="V109" s="1751"/>
      <c r="W109" s="1752"/>
      <c r="X109" s="1751"/>
      <c r="Y109" s="1753"/>
      <c r="Z109" s="1754"/>
      <c r="AA109" s="1743"/>
      <c r="AB109" s="1755"/>
      <c r="AC109" s="1756"/>
      <c r="AD109" s="1757"/>
      <c r="AE109" s="1668"/>
      <c r="AF109" s="1758"/>
      <c r="AG109" s="1758"/>
      <c r="AH109" s="1759"/>
      <c r="AI109" s="1201"/>
      <c r="AJ109" s="1202"/>
      <c r="AK109" s="1201"/>
      <c r="AL109" s="1871"/>
      <c r="AM109" s="1761"/>
      <c r="AN109" s="1762"/>
      <c r="AO109" s="1763"/>
      <c r="AP109" s="1764"/>
      <c r="AQ109" s="1765"/>
      <c r="AR109" s="1742"/>
      <c r="AS109" s="1766"/>
      <c r="AT109" s="1767"/>
      <c r="AU109" s="1768"/>
      <c r="AV109" s="1769"/>
      <c r="AW109" s="1768"/>
      <c r="AX109" s="1187"/>
      <c r="AY109" s="1804"/>
      <c r="AZ109" s="1815"/>
      <c r="BA109" s="1872"/>
      <c r="BB109" s="1771"/>
      <c r="BC109" s="1772"/>
      <c r="BD109" s="1668"/>
      <c r="BE109" s="1668"/>
      <c r="BF109" s="1773"/>
      <c r="BG109" s="1774"/>
      <c r="BH109" s="1775"/>
      <c r="BI109" s="1776"/>
      <c r="BJ109" s="1768"/>
      <c r="BK109" s="1777"/>
      <c r="BL109" s="1768"/>
      <c r="BM109" s="1778"/>
      <c r="BN109" s="1761"/>
      <c r="BO109" s="1779"/>
      <c r="BP109" s="1780"/>
      <c r="BQ109" s="1781"/>
      <c r="BR109" s="1776"/>
      <c r="BS109" s="1768"/>
      <c r="BT109" s="1777"/>
      <c r="BU109" s="1768"/>
      <c r="BV109" s="1778"/>
      <c r="BW109" s="1782"/>
      <c r="BX109" s="1783"/>
      <c r="BY109" s="1784"/>
      <c r="BZ109" s="1773"/>
      <c r="CA109" s="1741"/>
      <c r="CB109" s="1785"/>
      <c r="CC109" s="1786"/>
      <c r="CD109" s="1743"/>
      <c r="CE109" s="1737"/>
      <c r="CF109" s="1737"/>
      <c r="CG109" s="1787"/>
      <c r="CH109" s="1737"/>
      <c r="CI109" s="1788"/>
      <c r="CJ109" s="1737"/>
      <c r="CK109" s="1789"/>
      <c r="CL109" s="1790"/>
      <c r="CM109" s="1791"/>
      <c r="CN109" s="1790"/>
      <c r="CO109" s="1792"/>
      <c r="CP109" s="1789"/>
      <c r="CQ109" s="1790"/>
      <c r="CR109" s="1791"/>
      <c r="CS109" s="1790"/>
      <c r="CT109" s="1792"/>
      <c r="CU109" s="1794"/>
      <c r="CV109" s="1795"/>
      <c r="CW109" s="1796"/>
      <c r="CX109" s="1797"/>
      <c r="CY109" s="1796"/>
      <c r="CZ109" s="1797"/>
      <c r="DA109" s="1796"/>
      <c r="DB109" s="1797"/>
      <c r="DC109" s="1798"/>
      <c r="DD109" s="1799"/>
      <c r="DE109" s="1799"/>
      <c r="DF109" s="1743"/>
      <c r="DG109" s="1743"/>
      <c r="DH109" s="1743"/>
      <c r="DI109" s="1743"/>
      <c r="DJ109" s="1743"/>
      <c r="DK109" s="1743"/>
      <c r="DL109" s="1773"/>
      <c r="DM109" s="1790"/>
      <c r="DN109" s="1793"/>
      <c r="DO109" s="1737"/>
      <c r="DP109" s="1800"/>
      <c r="DQ109" s="1793"/>
      <c r="DR109" s="1792"/>
      <c r="DS109" s="1801"/>
      <c r="DT109" s="1802"/>
      <c r="DU109" s="1803"/>
      <c r="DV109" s="1804"/>
      <c r="DW109" s="1805"/>
      <c r="DX109" s="1748"/>
      <c r="DY109" s="1805"/>
      <c r="DZ109" s="1767"/>
      <c r="EA109" s="1769"/>
      <c r="EB109" s="1769"/>
      <c r="EC109" s="1769"/>
      <c r="ED109" s="1806"/>
      <c r="EE109" s="1769"/>
      <c r="EF109" s="1807"/>
      <c r="EG109" s="1767"/>
      <c r="EH109" s="1769"/>
      <c r="EI109" s="1769"/>
      <c r="EJ109" s="1769"/>
      <c r="EK109" s="1806"/>
      <c r="EL109" s="1737"/>
      <c r="EM109" s="1789"/>
      <c r="EN109" s="1808"/>
      <c r="EO109" s="1804"/>
      <c r="EP109" s="1731"/>
      <c r="EQ109" s="1731"/>
      <c r="ER109" s="1731"/>
      <c r="ES109" s="1731"/>
      <c r="ET109" s="1731"/>
      <c r="EU109" s="1731"/>
      <c r="EV109" s="1731"/>
      <c r="EW109" s="1731"/>
      <c r="EX109" s="1731"/>
      <c r="EY109" s="1731"/>
      <c r="EZ109" s="1731"/>
      <c r="FA109" s="1731"/>
      <c r="FB109" s="1731"/>
      <c r="FC109" s="1731"/>
      <c r="FD109" s="1731"/>
      <c r="FE109" s="1731"/>
      <c r="FF109" s="1731"/>
      <c r="FG109" s="1731"/>
      <c r="FH109" s="1731"/>
      <c r="FI109" s="1731"/>
      <c r="FJ109" s="1731"/>
      <c r="FK109" s="1731"/>
      <c r="FL109" s="1731"/>
      <c r="FM109" s="1731"/>
      <c r="FN109" s="1731"/>
      <c r="FO109" s="1731"/>
      <c r="FP109" s="1731"/>
      <c r="FQ109" s="1731"/>
      <c r="FR109" s="1731"/>
    </row>
    <row r="110" spans="1:174" s="1251" customFormat="1" ht="11.25" customHeight="1" x14ac:dyDescent="0.2">
      <c r="A110" s="1656"/>
      <c r="B110" s="1813"/>
      <c r="C110" s="1737"/>
      <c r="D110" s="1737"/>
      <c r="E110" s="1738"/>
      <c r="F110" s="1737"/>
      <c r="G110" s="1739"/>
      <c r="H110" s="1740"/>
      <c r="I110" s="1739"/>
      <c r="J110" s="1740"/>
      <c r="K110" s="1741"/>
      <c r="L110" s="1742"/>
      <c r="M110" s="1743"/>
      <c r="N110" s="1744"/>
      <c r="O110" s="1745"/>
      <c r="P110" s="1741"/>
      <c r="Q110" s="1746"/>
      <c r="R110" s="1747"/>
      <c r="S110" s="1748"/>
      <c r="T110" s="1749"/>
      <c r="U110" s="1750"/>
      <c r="V110" s="1751"/>
      <c r="W110" s="1752"/>
      <c r="X110" s="1751"/>
      <c r="Y110" s="1753"/>
      <c r="Z110" s="1754"/>
      <c r="AA110" s="1743"/>
      <c r="AB110" s="1755"/>
      <c r="AC110" s="1756"/>
      <c r="AD110" s="1757"/>
      <c r="AE110" s="1668"/>
      <c r="AF110" s="1758"/>
      <c r="AG110" s="1758"/>
      <c r="AH110" s="1759"/>
      <c r="AI110" s="1201"/>
      <c r="AJ110" s="1760"/>
      <c r="AK110" s="1201"/>
      <c r="AL110" s="1871"/>
      <c r="AM110" s="1761"/>
      <c r="AN110" s="1762"/>
      <c r="AO110" s="1763"/>
      <c r="AP110" s="1764"/>
      <c r="AQ110" s="1765"/>
      <c r="AR110" s="1742"/>
      <c r="AS110" s="1766"/>
      <c r="AT110" s="1767"/>
      <c r="AU110" s="1768"/>
      <c r="AV110" s="1769"/>
      <c r="AW110" s="1768"/>
      <c r="AX110" s="1778"/>
      <c r="AY110" s="1804"/>
      <c r="AZ110" s="1815"/>
      <c r="BA110" s="1872"/>
      <c r="BB110" s="1771"/>
      <c r="BC110" s="1772"/>
      <c r="BD110" s="1668"/>
      <c r="BE110" s="1668"/>
      <c r="BF110" s="1773"/>
      <c r="BG110" s="1774"/>
      <c r="BH110" s="1775"/>
      <c r="BI110" s="1776"/>
      <c r="BJ110" s="1768"/>
      <c r="BK110" s="1777"/>
      <c r="BL110" s="1768"/>
      <c r="BM110" s="1778"/>
      <c r="BN110" s="1761"/>
      <c r="BO110" s="1779"/>
      <c r="BP110" s="1780"/>
      <c r="BQ110" s="1781"/>
      <c r="BR110" s="1776"/>
      <c r="BS110" s="1768"/>
      <c r="BT110" s="1777"/>
      <c r="BU110" s="1768"/>
      <c r="BV110" s="1778"/>
      <c r="BW110" s="1782"/>
      <c r="BX110" s="1783"/>
      <c r="BY110" s="1784"/>
      <c r="BZ110" s="1773"/>
      <c r="CA110" s="1741"/>
      <c r="CB110" s="1785"/>
      <c r="CC110" s="1786"/>
      <c r="CD110" s="1743"/>
      <c r="CE110" s="1737"/>
      <c r="CF110" s="1737"/>
      <c r="CG110" s="1787"/>
      <c r="CH110" s="1737"/>
      <c r="CI110" s="1788"/>
      <c r="CJ110" s="1737"/>
      <c r="CK110" s="1789"/>
      <c r="CL110" s="1790"/>
      <c r="CM110" s="1791"/>
      <c r="CN110" s="1790"/>
      <c r="CO110" s="1792"/>
      <c r="CP110" s="1789"/>
      <c r="CQ110" s="1790"/>
      <c r="CR110" s="1791"/>
      <c r="CS110" s="1790"/>
      <c r="CT110" s="1792"/>
      <c r="CU110" s="1794"/>
      <c r="CV110" s="1795"/>
      <c r="CW110" s="1796"/>
      <c r="CX110" s="1797"/>
      <c r="CY110" s="1796"/>
      <c r="CZ110" s="1797"/>
      <c r="DA110" s="1796"/>
      <c r="DB110" s="1797"/>
      <c r="DC110" s="1798"/>
      <c r="DD110" s="1799"/>
      <c r="DE110" s="1799"/>
      <c r="DF110" s="1743"/>
      <c r="DG110" s="1743"/>
      <c r="DH110" s="1743"/>
      <c r="DI110" s="1743"/>
      <c r="DJ110" s="1743"/>
      <c r="DK110" s="1743"/>
      <c r="DL110" s="1773"/>
      <c r="DM110" s="1790"/>
      <c r="DN110" s="1793"/>
      <c r="DO110" s="1737"/>
      <c r="DP110" s="1800"/>
      <c r="DQ110" s="1793"/>
      <c r="DR110" s="1792"/>
      <c r="DS110" s="1801"/>
      <c r="DT110" s="1802"/>
      <c r="DU110" s="1803"/>
      <c r="DV110" s="1804"/>
      <c r="DW110" s="1805"/>
      <c r="DX110" s="1748"/>
      <c r="DY110" s="1805"/>
      <c r="DZ110" s="1767"/>
      <c r="EA110" s="1769"/>
      <c r="EB110" s="1769"/>
      <c r="EC110" s="1769"/>
      <c r="ED110" s="1806"/>
      <c r="EE110" s="1769"/>
      <c r="EF110" s="1807"/>
      <c r="EG110" s="1767"/>
      <c r="EH110" s="1769"/>
      <c r="EI110" s="1769"/>
      <c r="EJ110" s="1769"/>
      <c r="EK110" s="1806"/>
      <c r="EL110" s="1737"/>
      <c r="EM110" s="1789"/>
      <c r="EN110" s="1808"/>
      <c r="EO110" s="1804"/>
      <c r="EP110" s="1731"/>
      <c r="EQ110" s="1731"/>
      <c r="ER110" s="1731"/>
      <c r="ES110" s="1731"/>
      <c r="ET110" s="1731"/>
      <c r="EU110" s="1731"/>
      <c r="EV110" s="1731"/>
      <c r="EW110" s="1731"/>
      <c r="EX110" s="1731"/>
      <c r="EY110" s="1731"/>
      <c r="EZ110" s="1731"/>
      <c r="FA110" s="1731"/>
      <c r="FB110" s="1731"/>
      <c r="FC110" s="1731"/>
      <c r="FD110" s="1731"/>
      <c r="FE110" s="1731"/>
      <c r="FF110" s="1731"/>
      <c r="FG110" s="1731"/>
      <c r="FH110" s="1731"/>
      <c r="FI110" s="1731"/>
      <c r="FJ110" s="1731"/>
      <c r="FK110" s="1731"/>
      <c r="FL110" s="1731"/>
      <c r="FM110" s="1731"/>
      <c r="FN110" s="1731"/>
      <c r="FO110" s="1731"/>
      <c r="FP110" s="1731"/>
      <c r="FQ110" s="1731"/>
      <c r="FR110" s="1731"/>
    </row>
    <row r="111" spans="1:174" s="1251" customFormat="1" ht="11.25" customHeight="1" x14ac:dyDescent="0.2">
      <c r="A111" s="1656"/>
      <c r="B111" s="1185"/>
      <c r="C111" s="1175"/>
      <c r="D111" s="1175"/>
      <c r="E111" s="1186"/>
      <c r="F111" s="1175"/>
      <c r="G111" s="1174"/>
      <c r="H111" s="1657"/>
      <c r="I111" s="1174"/>
      <c r="J111" s="1657"/>
      <c r="K111" s="1186"/>
      <c r="L111" s="1188"/>
      <c r="M111" s="1658"/>
      <c r="N111" s="1189"/>
      <c r="O111" s="1659"/>
      <c r="P111" s="1186"/>
      <c r="Q111" s="1185"/>
      <c r="R111" s="1660"/>
      <c r="S111" s="1661"/>
      <c r="T111" s="1190"/>
      <c r="U111" s="1191"/>
      <c r="V111" s="1662"/>
      <c r="W111" s="1663"/>
      <c r="X111" s="1664"/>
      <c r="Y111" s="1193"/>
      <c r="Z111" s="1193"/>
      <c r="AA111" s="1194"/>
      <c r="AB111" s="1873"/>
      <c r="AC111" s="1196"/>
      <c r="AD111" s="1197"/>
      <c r="AE111" s="1198"/>
      <c r="AF111" s="1199"/>
      <c r="AG111" s="1199"/>
      <c r="AH111" s="1200"/>
      <c r="AI111" s="1201"/>
      <c r="AJ111" s="1202"/>
      <c r="AK111" s="1201"/>
      <c r="AL111" s="1203"/>
      <c r="AM111" s="1204"/>
      <c r="AN111" s="1205"/>
      <c r="AO111" s="1206"/>
      <c r="AP111" s="1207"/>
      <c r="AQ111" s="1208"/>
      <c r="AR111" s="1209"/>
      <c r="AS111" s="1210"/>
      <c r="AT111" s="1211"/>
      <c r="AU111" s="1212"/>
      <c r="AV111" s="1213"/>
      <c r="AW111" s="1212"/>
      <c r="AX111" s="1187"/>
      <c r="AY111" s="1176"/>
      <c r="AZ111" s="1666"/>
      <c r="BA111" s="1215"/>
      <c r="BB111" s="1216"/>
      <c r="BC111" s="1667"/>
      <c r="BD111" s="1668"/>
      <c r="BE111" s="1668"/>
      <c r="BF111" s="1217"/>
      <c r="BG111" s="1218"/>
      <c r="BH111" s="1669"/>
      <c r="BI111" s="1670"/>
      <c r="BJ111" s="1220"/>
      <c r="BK111" s="1671"/>
      <c r="BL111" s="1220"/>
      <c r="BM111" s="1672"/>
      <c r="BN111" s="1204"/>
      <c r="BO111" s="1222"/>
      <c r="BP111" s="1223"/>
      <c r="BQ111" s="1224"/>
      <c r="BR111" s="1219"/>
      <c r="BS111" s="1212"/>
      <c r="BT111" s="1673"/>
      <c r="BU111" s="1212"/>
      <c r="BV111" s="1187"/>
      <c r="BW111" s="1226"/>
      <c r="BX111" s="1227"/>
      <c r="BY111" s="1253"/>
      <c r="BZ111" s="1217"/>
      <c r="CA111" s="1228"/>
      <c r="CB111" s="1229"/>
      <c r="CC111" s="1230"/>
      <c r="CD111" s="1194"/>
      <c r="CE111" s="1175"/>
      <c r="CF111" s="1175"/>
      <c r="CG111" s="1254"/>
      <c r="CH111" s="1175"/>
      <c r="CI111" s="1175"/>
      <c r="CJ111" s="1175"/>
      <c r="CK111" s="1232"/>
      <c r="CL111" s="1233"/>
      <c r="CM111" s="1234"/>
      <c r="CN111" s="1233"/>
      <c r="CO111" s="1235"/>
      <c r="CP111" s="1232"/>
      <c r="CQ111" s="1233"/>
      <c r="CR111" s="1234"/>
      <c r="CS111" s="1233"/>
      <c r="CT111" s="1235"/>
      <c r="CU111" s="1236"/>
      <c r="CV111" s="1237"/>
      <c r="CW111" s="1238"/>
      <c r="CX111" s="1239"/>
      <c r="CY111" s="1238"/>
      <c r="CZ111" s="1239"/>
      <c r="DA111" s="1238"/>
      <c r="DB111" s="1239"/>
      <c r="DC111" s="1240"/>
      <c r="DD111" s="1241"/>
      <c r="DE111" s="1241"/>
      <c r="DF111" s="1194"/>
      <c r="DG111" s="1194"/>
      <c r="DH111" s="1194"/>
      <c r="DI111" s="1194"/>
      <c r="DJ111" s="1194"/>
      <c r="DK111" s="1194"/>
      <c r="DL111" s="1217"/>
      <c r="DM111" s="1233"/>
      <c r="DN111" s="1242"/>
      <c r="DO111" s="1736"/>
      <c r="DP111" s="1816"/>
      <c r="DQ111" s="1235"/>
      <c r="DR111" s="1235"/>
      <c r="DS111" s="1244"/>
      <c r="DT111" s="1245"/>
      <c r="DU111" s="1246"/>
      <c r="DV111" s="1176"/>
      <c r="DW111" s="1247"/>
      <c r="DX111" s="1661"/>
      <c r="DY111" s="1247"/>
      <c r="DZ111" s="1211"/>
      <c r="EA111" s="1213"/>
      <c r="EB111" s="1213"/>
      <c r="EC111" s="1213"/>
      <c r="ED111" s="1248"/>
      <c r="EE111" s="1213"/>
      <c r="EF111" s="1249"/>
      <c r="EG111" s="1211"/>
      <c r="EH111" s="1213"/>
      <c r="EI111" s="1213"/>
      <c r="EJ111" s="1213"/>
      <c r="EK111" s="1248"/>
      <c r="EL111" s="1175"/>
      <c r="EM111" s="1232"/>
      <c r="EN111" s="1250"/>
      <c r="EO111" s="1176"/>
    </row>
    <row r="112" spans="1:174" s="1884" customFormat="1" ht="11.25" customHeight="1" x14ac:dyDescent="0.2">
      <c r="A112" s="1656"/>
      <c r="B112" s="1813"/>
      <c r="C112" s="1175"/>
      <c r="D112" s="1676"/>
      <c r="E112" s="1677"/>
      <c r="F112" s="1676"/>
      <c r="G112" s="1678"/>
      <c r="H112" s="1679"/>
      <c r="I112" s="1678"/>
      <c r="J112" s="1679"/>
      <c r="K112" s="1677"/>
      <c r="L112" s="1188"/>
      <c r="M112" s="1658"/>
      <c r="N112" s="1189"/>
      <c r="O112" s="1659"/>
      <c r="P112" s="1677"/>
      <c r="Q112" s="1185"/>
      <c r="R112" s="1680"/>
      <c r="S112" s="1661"/>
      <c r="T112" s="1681"/>
      <c r="U112" s="1682"/>
      <c r="V112" s="1662"/>
      <c r="W112" s="1663"/>
      <c r="X112" s="1662"/>
      <c r="Y112" s="1193"/>
      <c r="Z112" s="1193"/>
      <c r="AA112" s="1658"/>
      <c r="AB112" s="1683"/>
      <c r="AC112" s="1684"/>
      <c r="AD112" s="1685"/>
      <c r="AE112" s="1686"/>
      <c r="AF112" s="1687"/>
      <c r="AG112" s="1687"/>
      <c r="AH112" s="1200"/>
      <c r="AI112" s="1201"/>
      <c r="AJ112" s="1202"/>
      <c r="AK112" s="1201"/>
      <c r="AL112" s="1203"/>
      <c r="AM112" s="1221"/>
      <c r="AN112" s="1688"/>
      <c r="AO112" s="1689"/>
      <c r="AP112" s="1690"/>
      <c r="AQ112" s="1691"/>
      <c r="AR112" s="1188"/>
      <c r="AS112" s="1692"/>
      <c r="AT112" s="1693"/>
      <c r="AU112" s="1694"/>
      <c r="AV112" s="1695"/>
      <c r="AW112" s="1874"/>
      <c r="AX112" s="1187"/>
      <c r="AY112" s="1176"/>
      <c r="AZ112" s="1875"/>
      <c r="BA112" s="1215"/>
      <c r="BB112" s="1697"/>
      <c r="BC112" s="1667"/>
      <c r="BD112" s="1668"/>
      <c r="BE112" s="1668"/>
      <c r="BF112" s="1698"/>
      <c r="BG112" s="1699"/>
      <c r="BH112" s="1700"/>
      <c r="BI112" s="1670"/>
      <c r="BJ112" s="1220"/>
      <c r="BK112" s="1671"/>
      <c r="BL112" s="1220"/>
      <c r="BM112" s="1672"/>
      <c r="BN112" s="1221"/>
      <c r="BO112" s="1701"/>
      <c r="BP112" s="1702"/>
      <c r="BQ112" s="1703"/>
      <c r="BR112" s="1219"/>
      <c r="BS112" s="1694"/>
      <c r="BT112" s="1704"/>
      <c r="BU112" s="1694"/>
      <c r="BV112" s="1705"/>
      <c r="BW112" s="1706"/>
      <c r="BX112" s="1707"/>
      <c r="BY112" s="1253"/>
      <c r="BZ112" s="1698"/>
      <c r="CA112" s="1228"/>
      <c r="CB112" s="1708"/>
      <c r="CC112" s="1709"/>
      <c r="CD112" s="1658"/>
      <c r="CE112" s="1676"/>
      <c r="CF112" s="1676"/>
      <c r="CG112" s="1710"/>
      <c r="CH112" s="1876"/>
      <c r="CI112" s="1662"/>
      <c r="CJ112" s="1676"/>
      <c r="CK112" s="1711"/>
      <c r="CL112" s="1179"/>
      <c r="CM112" s="1712"/>
      <c r="CN112" s="1179"/>
      <c r="CO112" s="1713"/>
      <c r="CP112" s="1711"/>
      <c r="CQ112" s="1179"/>
      <c r="CR112" s="1712"/>
      <c r="CS112" s="1179"/>
      <c r="CT112" s="1713"/>
      <c r="CU112" s="1714"/>
      <c r="CV112" s="1715"/>
      <c r="CW112" s="1192"/>
      <c r="CX112" s="1716"/>
      <c r="CY112" s="1192"/>
      <c r="CZ112" s="1716"/>
      <c r="DA112" s="1192"/>
      <c r="DB112" s="1716"/>
      <c r="DC112" s="1717"/>
      <c r="DD112" s="1718"/>
      <c r="DE112" s="1718"/>
      <c r="DF112" s="1658"/>
      <c r="DG112" s="1658"/>
      <c r="DH112" s="1658"/>
      <c r="DI112" s="1658"/>
      <c r="DJ112" s="1658"/>
      <c r="DK112" s="1658"/>
      <c r="DL112" s="1698"/>
      <c r="DM112" s="1877"/>
      <c r="DN112" s="1878"/>
      <c r="DO112" s="1876"/>
      <c r="DP112" s="1879"/>
      <c r="DQ112" s="1878"/>
      <c r="DR112" s="1878"/>
      <c r="DS112" s="1880"/>
      <c r="DT112" s="1881"/>
      <c r="DU112" s="1724"/>
      <c r="DV112" s="1725"/>
      <c r="DW112" s="1726"/>
      <c r="DX112" s="1661"/>
      <c r="DY112" s="1726"/>
      <c r="DZ112" s="1693"/>
      <c r="EA112" s="1695"/>
      <c r="EB112" s="1882"/>
      <c r="EC112" s="1695"/>
      <c r="ED112" s="1727"/>
      <c r="EE112" s="1695"/>
      <c r="EF112" s="1728"/>
      <c r="EG112" s="1693"/>
      <c r="EH112" s="1695"/>
      <c r="EI112" s="1883"/>
      <c r="EJ112" s="1695"/>
      <c r="EK112" s="1727"/>
      <c r="EL112" s="1676"/>
      <c r="EM112" s="1711"/>
      <c r="EN112" s="1729"/>
      <c r="EO112" s="1725"/>
      <c r="EP112" s="1675"/>
      <c r="EQ112" s="1675"/>
      <c r="ER112" s="1675"/>
      <c r="ES112" s="1675"/>
      <c r="ET112" s="1675"/>
      <c r="EU112" s="1675"/>
      <c r="EV112" s="1675"/>
      <c r="EW112" s="1675"/>
      <c r="EX112" s="1675"/>
      <c r="EY112" s="1675"/>
      <c r="EZ112" s="1675"/>
      <c r="FA112" s="1675"/>
      <c r="FB112" s="1675"/>
      <c r="FC112" s="1675"/>
      <c r="FD112" s="1675"/>
      <c r="FE112" s="1675"/>
      <c r="FF112" s="1675"/>
      <c r="FG112" s="1675"/>
      <c r="FH112" s="1675"/>
      <c r="FI112" s="1675"/>
      <c r="FJ112" s="1675"/>
      <c r="FK112" s="1675"/>
      <c r="FL112" s="1675"/>
      <c r="FM112" s="1675"/>
      <c r="FN112" s="1251"/>
      <c r="FO112" s="1251"/>
      <c r="FP112" s="1251"/>
      <c r="FQ112" s="1251"/>
      <c r="FR112" s="1251"/>
    </row>
    <row r="113" spans="1:174" s="1964" customFormat="1" ht="11.25" customHeight="1" x14ac:dyDescent="0.2">
      <c r="A113" s="1656"/>
      <c r="B113" s="1185"/>
      <c r="C113" s="1885"/>
      <c r="D113" s="1885"/>
      <c r="E113" s="1886"/>
      <c r="F113" s="1885"/>
      <c r="G113" s="1887"/>
      <c r="H113" s="1888"/>
      <c r="I113" s="1887"/>
      <c r="J113" s="1888"/>
      <c r="K113" s="1886"/>
      <c r="L113" s="1889"/>
      <c r="M113" s="1890"/>
      <c r="N113" s="1891"/>
      <c r="O113" s="1892"/>
      <c r="P113" s="1886"/>
      <c r="Q113" s="1893"/>
      <c r="R113" s="1894"/>
      <c r="S113" s="1895"/>
      <c r="T113" s="1896"/>
      <c r="U113" s="1897"/>
      <c r="V113" s="1898"/>
      <c r="W113" s="1899"/>
      <c r="X113" s="1898"/>
      <c r="Y113" s="1900"/>
      <c r="Z113" s="1900"/>
      <c r="AA113" s="1890"/>
      <c r="AB113" s="1901"/>
      <c r="AC113" s="1902"/>
      <c r="AD113" s="1903"/>
      <c r="AE113" s="1904"/>
      <c r="AF113" s="1905"/>
      <c r="AG113" s="1906"/>
      <c r="AH113" s="1907"/>
      <c r="AI113" s="1201"/>
      <c r="AJ113" s="1908"/>
      <c r="AK113" s="1201"/>
      <c r="AL113" s="1909"/>
      <c r="AM113" s="1910"/>
      <c r="AN113" s="1911"/>
      <c r="AO113" s="1912"/>
      <c r="AP113" s="1913"/>
      <c r="AQ113" s="1914"/>
      <c r="AR113" s="1915"/>
      <c r="AS113" s="1906"/>
      <c r="AT113" s="1916"/>
      <c r="AU113" s="1917"/>
      <c r="AV113" s="1918"/>
      <c r="AW113" s="1917"/>
      <c r="AX113" s="1919"/>
      <c r="AY113" s="1920"/>
      <c r="AZ113" s="1921"/>
      <c r="BA113" s="1922"/>
      <c r="BB113" s="1923"/>
      <c r="BC113" s="1924"/>
      <c r="BD113" s="1925"/>
      <c r="BE113" s="1925"/>
      <c r="BF113" s="1926"/>
      <c r="BG113" s="1927"/>
      <c r="BH113" s="1928"/>
      <c r="BI113" s="1929"/>
      <c r="BJ113" s="1850"/>
      <c r="BK113" s="1930"/>
      <c r="BL113" s="1850"/>
      <c r="BM113" s="1931"/>
      <c r="BN113" s="1910"/>
      <c r="BO113" s="1932"/>
      <c r="BP113" s="1933"/>
      <c r="BQ113" s="1934"/>
      <c r="BR113" s="1935"/>
      <c r="BS113" s="1917"/>
      <c r="BT113" s="1936"/>
      <c r="BU113" s="1917"/>
      <c r="BV113" s="1937"/>
      <c r="BW113" s="1938"/>
      <c r="BX113" s="1939"/>
      <c r="BY113" s="1940"/>
      <c r="BZ113" s="1926"/>
      <c r="CA113" s="1886"/>
      <c r="CB113" s="1941"/>
      <c r="CC113" s="1942"/>
      <c r="CD113" s="1890"/>
      <c r="CE113" s="1885"/>
      <c r="CF113" s="1885"/>
      <c r="CG113" s="1943"/>
      <c r="CH113" s="1885"/>
      <c r="CI113" s="1885"/>
      <c r="CJ113" s="1885"/>
      <c r="CK113" s="1939"/>
      <c r="CL113" s="1944"/>
      <c r="CM113" s="1945"/>
      <c r="CN113" s="1944"/>
      <c r="CO113" s="1946"/>
      <c r="CP113" s="1939"/>
      <c r="CQ113" s="1944"/>
      <c r="CR113" s="1945"/>
      <c r="CS113" s="1944"/>
      <c r="CT113" s="1946"/>
      <c r="CU113" s="1947"/>
      <c r="CV113" s="1948"/>
      <c r="CW113" s="1949"/>
      <c r="CX113" s="1950"/>
      <c r="CY113" s="1949"/>
      <c r="CZ113" s="1950"/>
      <c r="DA113" s="1949"/>
      <c r="DB113" s="1950"/>
      <c r="DC113" s="1951"/>
      <c r="DD113" s="1952"/>
      <c r="DE113" s="1952"/>
      <c r="DF113" s="1890"/>
      <c r="DG113" s="1890"/>
      <c r="DH113" s="1890"/>
      <c r="DI113" s="1890"/>
      <c r="DJ113" s="1890"/>
      <c r="DK113" s="1890"/>
      <c r="DL113" s="1926"/>
      <c r="DM113" s="1944"/>
      <c r="DN113" s="1953"/>
      <c r="DO113" s="1885"/>
      <c r="DP113" s="1954"/>
      <c r="DQ113" s="1953"/>
      <c r="DR113" s="1946"/>
      <c r="DS113" s="1955"/>
      <c r="DT113" s="1956"/>
      <c r="DU113" s="1957"/>
      <c r="DV113" s="1958"/>
      <c r="DW113" s="1959"/>
      <c r="DX113" s="1895"/>
      <c r="DY113" s="1960"/>
      <c r="DZ113" s="1916"/>
      <c r="EA113" s="1918"/>
      <c r="EB113" s="1918"/>
      <c r="EC113" s="1918"/>
      <c r="ED113" s="1961"/>
      <c r="EE113" s="1918"/>
      <c r="EF113" s="1962"/>
      <c r="EG113" s="1916"/>
      <c r="EH113" s="1918"/>
      <c r="EI113" s="1918"/>
      <c r="EJ113" s="1918"/>
      <c r="EK113" s="1961"/>
      <c r="EL113" s="1885"/>
      <c r="EM113" s="1939"/>
      <c r="EN113" s="1963"/>
      <c r="EO113" s="1958"/>
      <c r="EP113" s="1252"/>
      <c r="EQ113" s="1252"/>
      <c r="ER113" s="1252"/>
      <c r="ES113" s="1252"/>
      <c r="ET113" s="1252"/>
      <c r="EU113" s="1252"/>
      <c r="EV113" s="1252"/>
      <c r="EW113" s="1252"/>
      <c r="EX113" s="1252"/>
      <c r="EY113" s="1252"/>
      <c r="EZ113" s="1252"/>
      <c r="FA113" s="1252"/>
      <c r="FB113" s="1252"/>
      <c r="FC113" s="1252"/>
      <c r="FD113" s="1252"/>
      <c r="FE113" s="1252"/>
      <c r="FF113" s="1252"/>
      <c r="FG113" s="1252"/>
      <c r="FH113" s="1252"/>
      <c r="FI113" s="1252"/>
      <c r="FJ113" s="1252"/>
      <c r="FK113" s="1252"/>
      <c r="FL113" s="1252"/>
      <c r="FM113" s="1252"/>
      <c r="FN113" s="1867"/>
      <c r="FO113" s="1867"/>
      <c r="FP113" s="1867"/>
      <c r="FQ113" s="1867"/>
      <c r="FR113" s="1867"/>
    </row>
    <row r="114" spans="1:174" s="1251" customFormat="1" ht="11.25" customHeight="1" x14ac:dyDescent="0.2">
      <c r="A114" s="1656"/>
      <c r="B114" s="1185"/>
      <c r="C114" s="1965"/>
      <c r="D114" s="1175"/>
      <c r="E114" s="1186"/>
      <c r="F114" s="1175"/>
      <c r="G114" s="1174"/>
      <c r="H114" s="1657"/>
      <c r="I114" s="1174"/>
      <c r="J114" s="1657"/>
      <c r="K114" s="1186"/>
      <c r="L114" s="1188"/>
      <c r="M114" s="1658"/>
      <c r="N114" s="1189"/>
      <c r="O114" s="1659"/>
      <c r="P114" s="1186"/>
      <c r="Q114" s="1185"/>
      <c r="R114" s="1660"/>
      <c r="S114" s="1661"/>
      <c r="T114" s="1190"/>
      <c r="U114" s="1191"/>
      <c r="V114" s="1662"/>
      <c r="W114" s="1663"/>
      <c r="X114" s="1664"/>
      <c r="Y114" s="1193"/>
      <c r="Z114" s="1193"/>
      <c r="AA114" s="1194"/>
      <c r="AB114" s="1665"/>
      <c r="AC114" s="1196"/>
      <c r="AD114" s="1197"/>
      <c r="AE114" s="1198"/>
      <c r="AF114" s="1199"/>
      <c r="AG114" s="1199"/>
      <c r="AH114" s="1200"/>
      <c r="AI114" s="1201"/>
      <c r="AJ114" s="1202"/>
      <c r="AK114" s="1201"/>
      <c r="AL114" s="1203"/>
      <c r="AM114" s="1204"/>
      <c r="AN114" s="1205"/>
      <c r="AO114" s="1206"/>
      <c r="AP114" s="1207"/>
      <c r="AQ114" s="1208"/>
      <c r="AR114" s="1209"/>
      <c r="AS114" s="1210"/>
      <c r="AT114" s="1211"/>
      <c r="AU114" s="1212"/>
      <c r="AV114" s="1213"/>
      <c r="AW114" s="1212"/>
      <c r="AX114" s="1187"/>
      <c r="AY114" s="1176"/>
      <c r="AZ114" s="1666"/>
      <c r="BA114" s="1215"/>
      <c r="BB114" s="1216"/>
      <c r="BC114" s="1667"/>
      <c r="BD114" s="1668"/>
      <c r="BE114" s="1668"/>
      <c r="BF114" s="1217"/>
      <c r="BG114" s="1218"/>
      <c r="BH114" s="1669"/>
      <c r="BI114" s="1670"/>
      <c r="BJ114" s="1220"/>
      <c r="BK114" s="1671"/>
      <c r="BL114" s="1220"/>
      <c r="BM114" s="1672"/>
      <c r="BN114" s="1204"/>
      <c r="BO114" s="1222"/>
      <c r="BP114" s="1223"/>
      <c r="BQ114" s="1224"/>
      <c r="BR114" s="1219"/>
      <c r="BS114" s="1212"/>
      <c r="BT114" s="1673"/>
      <c r="BU114" s="1212"/>
      <c r="BV114" s="1187"/>
      <c r="BW114" s="1226"/>
      <c r="BX114" s="1227"/>
      <c r="BY114" s="1253"/>
      <c r="BZ114" s="1217"/>
      <c r="CA114" s="1228"/>
      <c r="CB114" s="1229"/>
      <c r="CC114" s="1230"/>
      <c r="CD114" s="1194"/>
      <c r="CE114" s="1175"/>
      <c r="CF114" s="1175"/>
      <c r="CG114" s="1254"/>
      <c r="CH114" s="1175"/>
      <c r="CI114" s="1674"/>
      <c r="CJ114" s="1175"/>
      <c r="CK114" s="1232"/>
      <c r="CL114" s="1233"/>
      <c r="CM114" s="1234"/>
      <c r="CN114" s="1233"/>
      <c r="CO114" s="1235"/>
      <c r="CP114" s="1232"/>
      <c r="CQ114" s="1233"/>
      <c r="CR114" s="1234"/>
      <c r="CS114" s="1233"/>
      <c r="CT114" s="1235"/>
      <c r="CU114" s="1236"/>
      <c r="CV114" s="1237"/>
      <c r="CW114" s="1238"/>
      <c r="CX114" s="1239"/>
      <c r="CY114" s="1238"/>
      <c r="CZ114" s="1239"/>
      <c r="DA114" s="1238"/>
      <c r="DB114" s="1239"/>
      <c r="DC114" s="1240"/>
      <c r="DD114" s="1241"/>
      <c r="DE114" s="1241"/>
      <c r="DF114" s="1194"/>
      <c r="DG114" s="1194"/>
      <c r="DH114" s="1194"/>
      <c r="DI114" s="1194"/>
      <c r="DJ114" s="1194"/>
      <c r="DK114" s="1194"/>
      <c r="DL114" s="1217"/>
      <c r="DM114" s="1233"/>
      <c r="DN114" s="1242"/>
      <c r="DO114" s="1736"/>
      <c r="DP114" s="1243"/>
      <c r="DQ114" s="1242"/>
      <c r="DR114" s="1242"/>
      <c r="DS114" s="1825"/>
      <c r="DT114" s="1186"/>
      <c r="DU114" s="1246"/>
      <c r="DV114" s="1176"/>
      <c r="DW114" s="1247"/>
      <c r="DX114" s="1661"/>
      <c r="DY114" s="1247"/>
      <c r="DZ114" s="1826"/>
      <c r="EA114" s="1213"/>
      <c r="EB114" s="1827"/>
      <c r="EC114" s="1213"/>
      <c r="ED114" s="1248"/>
      <c r="EE114" s="1213"/>
      <c r="EF114" s="1249"/>
      <c r="EG114" s="1826"/>
      <c r="EH114" s="1213"/>
      <c r="EI114" s="1827"/>
      <c r="EJ114" s="1213"/>
      <c r="EK114" s="1248"/>
      <c r="EL114" s="1175"/>
      <c r="EM114" s="1232"/>
      <c r="EN114" s="1250"/>
      <c r="EO114" s="1176"/>
    </row>
    <row r="115" spans="1:174" s="1251" customFormat="1" ht="11.25" customHeight="1" x14ac:dyDescent="0.2">
      <c r="A115" s="1656"/>
      <c r="B115" s="1813"/>
      <c r="C115" s="1175"/>
      <c r="D115" s="1175"/>
      <c r="E115" s="1186"/>
      <c r="F115" s="1175"/>
      <c r="G115" s="1174"/>
      <c r="H115" s="1657"/>
      <c r="I115" s="1174"/>
      <c r="J115" s="1657"/>
      <c r="K115" s="1186"/>
      <c r="L115" s="1188"/>
      <c r="M115" s="1658"/>
      <c r="N115" s="1189"/>
      <c r="O115" s="1659"/>
      <c r="P115" s="1186"/>
      <c r="Q115" s="1185"/>
      <c r="R115" s="1660"/>
      <c r="S115" s="1661"/>
      <c r="T115" s="1190"/>
      <c r="U115" s="1191"/>
      <c r="V115" s="1662"/>
      <c r="W115" s="1663"/>
      <c r="X115" s="1664"/>
      <c r="Y115" s="1193"/>
      <c r="Z115" s="1193"/>
      <c r="AA115" s="1194"/>
      <c r="AB115" s="1665"/>
      <c r="AC115" s="1196"/>
      <c r="AD115" s="1197"/>
      <c r="AE115" s="1198"/>
      <c r="AF115" s="1199"/>
      <c r="AG115" s="1199"/>
      <c r="AH115" s="1200"/>
      <c r="AI115" s="1201"/>
      <c r="AJ115" s="1202"/>
      <c r="AK115" s="1201"/>
      <c r="AL115" s="1203"/>
      <c r="AM115" s="1204"/>
      <c r="AN115" s="1205"/>
      <c r="AO115" s="1206"/>
      <c r="AP115" s="1207"/>
      <c r="AQ115" s="1208"/>
      <c r="AR115" s="1209"/>
      <c r="AS115" s="1210"/>
      <c r="AT115" s="1211"/>
      <c r="AU115" s="1212"/>
      <c r="AV115" s="1213"/>
      <c r="AW115" s="1212"/>
      <c r="AX115" s="1187"/>
      <c r="AY115" s="1176"/>
      <c r="AZ115" s="1666"/>
      <c r="BA115" s="1215"/>
      <c r="BB115" s="1216"/>
      <c r="BC115" s="1667"/>
      <c r="BD115" s="1668"/>
      <c r="BE115" s="1668"/>
      <c r="BF115" s="1217"/>
      <c r="BG115" s="1218"/>
      <c r="BH115" s="1669"/>
      <c r="BI115" s="1670"/>
      <c r="BJ115" s="1220"/>
      <c r="BK115" s="1671"/>
      <c r="BL115" s="1220"/>
      <c r="BM115" s="1672"/>
      <c r="BN115" s="1204"/>
      <c r="BO115" s="1222"/>
      <c r="BP115" s="1223"/>
      <c r="BQ115" s="1224"/>
      <c r="BR115" s="1219"/>
      <c r="BS115" s="1212"/>
      <c r="BT115" s="1673"/>
      <c r="BU115" s="1212"/>
      <c r="BV115" s="1187"/>
      <c r="BW115" s="1226"/>
      <c r="BX115" s="1227"/>
      <c r="BY115" s="1253"/>
      <c r="BZ115" s="1217"/>
      <c r="CA115" s="1228"/>
      <c r="CB115" s="1229"/>
      <c r="CC115" s="1230"/>
      <c r="CD115" s="1194"/>
      <c r="CE115" s="1175"/>
      <c r="CF115" s="1175"/>
      <c r="CG115" s="1254"/>
      <c r="CH115" s="1175"/>
      <c r="CI115" s="1674"/>
      <c r="CJ115" s="1175"/>
      <c r="CK115" s="1232"/>
      <c r="CL115" s="1233"/>
      <c r="CM115" s="1234"/>
      <c r="CN115" s="1233"/>
      <c r="CO115" s="1235"/>
      <c r="CP115" s="1232"/>
      <c r="CQ115" s="1233"/>
      <c r="CR115" s="1234"/>
      <c r="CS115" s="1233"/>
      <c r="CT115" s="1235"/>
      <c r="CU115" s="1236"/>
      <c r="CV115" s="1237"/>
      <c r="CW115" s="1238"/>
      <c r="CX115" s="1239"/>
      <c r="CY115" s="1238"/>
      <c r="CZ115" s="1239"/>
      <c r="DA115" s="1238"/>
      <c r="DB115" s="1239"/>
      <c r="DC115" s="1240"/>
      <c r="DD115" s="1241"/>
      <c r="DE115" s="1824"/>
      <c r="DF115" s="1194"/>
      <c r="DG115" s="1194"/>
      <c r="DH115" s="1194"/>
      <c r="DI115" s="1194"/>
      <c r="DJ115" s="1194"/>
      <c r="DK115" s="1194"/>
      <c r="DL115" s="1217"/>
      <c r="DM115" s="1233"/>
      <c r="DN115" s="1242"/>
      <c r="DO115" s="1736"/>
      <c r="DP115" s="1816"/>
      <c r="DQ115" s="1235"/>
      <c r="DR115" s="1235"/>
      <c r="DS115" s="1244"/>
      <c r="DT115" s="1245"/>
      <c r="DU115" s="1246"/>
      <c r="DV115" s="1176"/>
      <c r="DW115" s="1247"/>
      <c r="DX115" s="1661"/>
      <c r="DY115" s="1247"/>
      <c r="DZ115" s="1826"/>
      <c r="EA115" s="1213"/>
      <c r="EB115" s="1827"/>
      <c r="EC115" s="1213"/>
      <c r="ED115" s="1248"/>
      <c r="EE115" s="1213"/>
      <c r="EF115" s="1249"/>
      <c r="EG115" s="1826"/>
      <c r="EH115" s="1213"/>
      <c r="EI115" s="1827"/>
      <c r="EJ115" s="1213"/>
      <c r="EK115" s="1248"/>
      <c r="EL115" s="1175"/>
      <c r="EM115" s="1232"/>
      <c r="EN115" s="1250"/>
      <c r="EO115" s="1176"/>
      <c r="FM115" s="1823"/>
    </row>
    <row r="116" spans="1:174" s="1251" customFormat="1" ht="11.25" customHeight="1" x14ac:dyDescent="0.2">
      <c r="A116" s="1656"/>
      <c r="B116" s="1185"/>
      <c r="C116" s="1965"/>
      <c r="D116" s="1175"/>
      <c r="E116" s="1186"/>
      <c r="F116" s="1175"/>
      <c r="G116" s="1174"/>
      <c r="H116" s="1657"/>
      <c r="I116" s="1174"/>
      <c r="J116" s="1657"/>
      <c r="K116" s="1186"/>
      <c r="L116" s="1188"/>
      <c r="M116" s="1658"/>
      <c r="N116" s="1189"/>
      <c r="O116" s="1659"/>
      <c r="P116" s="1186"/>
      <c r="Q116" s="1185"/>
      <c r="R116" s="1660"/>
      <c r="S116" s="1661"/>
      <c r="T116" s="1190"/>
      <c r="U116" s="1191"/>
      <c r="V116" s="1662"/>
      <c r="W116" s="1663"/>
      <c r="X116" s="1664"/>
      <c r="Y116" s="1193"/>
      <c r="Z116" s="1193"/>
      <c r="AA116" s="1194"/>
      <c r="AB116" s="1665"/>
      <c r="AC116" s="1196"/>
      <c r="AD116" s="1197"/>
      <c r="AE116" s="1198"/>
      <c r="AF116" s="1199"/>
      <c r="AG116" s="1199"/>
      <c r="AH116" s="1200"/>
      <c r="AI116" s="1201"/>
      <c r="AJ116" s="1202"/>
      <c r="AK116" s="1201"/>
      <c r="AL116" s="1203"/>
      <c r="AM116" s="1204"/>
      <c r="AN116" s="1205"/>
      <c r="AO116" s="1206"/>
      <c r="AP116" s="1207"/>
      <c r="AQ116" s="1208"/>
      <c r="AR116" s="1209"/>
      <c r="AS116" s="1210"/>
      <c r="AT116" s="1211"/>
      <c r="AU116" s="1854"/>
      <c r="AV116" s="1213"/>
      <c r="AW116" s="1966"/>
      <c r="AX116" s="1187"/>
      <c r="AY116" s="1176"/>
      <c r="AZ116" s="1666"/>
      <c r="BA116" s="1215"/>
      <c r="BB116" s="1216"/>
      <c r="BC116" s="1667"/>
      <c r="BD116" s="1668"/>
      <c r="BE116" s="1668"/>
      <c r="BF116" s="1217"/>
      <c r="BG116" s="1218"/>
      <c r="BH116" s="1669"/>
      <c r="BI116" s="1670"/>
      <c r="BJ116" s="1220"/>
      <c r="BK116" s="1671"/>
      <c r="BL116" s="1220"/>
      <c r="BM116" s="1672"/>
      <c r="BN116" s="1204"/>
      <c r="BO116" s="1222"/>
      <c r="BP116" s="1223"/>
      <c r="BQ116" s="1224"/>
      <c r="BR116" s="1219"/>
      <c r="BS116" s="1212"/>
      <c r="BT116" s="1673"/>
      <c r="BU116" s="1212"/>
      <c r="BV116" s="1187"/>
      <c r="BW116" s="1226"/>
      <c r="BX116" s="1227"/>
      <c r="BY116" s="1253"/>
      <c r="BZ116" s="1217"/>
      <c r="CA116" s="1228"/>
      <c r="CB116" s="1229"/>
      <c r="CC116" s="1230"/>
      <c r="CD116" s="1194"/>
      <c r="CE116" s="1175"/>
      <c r="CF116" s="1175"/>
      <c r="CG116" s="1254"/>
      <c r="CH116" s="1175"/>
      <c r="CI116" s="1674"/>
      <c r="CJ116" s="1175"/>
      <c r="CK116" s="1232"/>
      <c r="CL116" s="1233"/>
      <c r="CM116" s="1234"/>
      <c r="CN116" s="1233"/>
      <c r="CO116" s="1235"/>
      <c r="CP116" s="1232"/>
      <c r="CQ116" s="1233"/>
      <c r="CR116" s="1234"/>
      <c r="CS116" s="1233"/>
      <c r="CT116" s="1235"/>
      <c r="CU116" s="1236"/>
      <c r="CV116" s="1237"/>
      <c r="CW116" s="1238"/>
      <c r="CX116" s="1239"/>
      <c r="CY116" s="1238"/>
      <c r="CZ116" s="1239"/>
      <c r="DA116" s="1238"/>
      <c r="DB116" s="1239"/>
      <c r="DC116" s="1240"/>
      <c r="DD116" s="1241"/>
      <c r="DE116" s="1241"/>
      <c r="DF116" s="1194"/>
      <c r="DG116" s="1194"/>
      <c r="DH116" s="1194"/>
      <c r="DI116" s="1194"/>
      <c r="DJ116" s="1194"/>
      <c r="DK116" s="1194"/>
      <c r="DL116" s="1217"/>
      <c r="DM116" s="1967"/>
      <c r="DN116" s="1968"/>
      <c r="DO116" s="1736"/>
      <c r="DP116" s="1969"/>
      <c r="DQ116" s="1235"/>
      <c r="DR116" s="1235"/>
      <c r="DS116" s="1244"/>
      <c r="DT116" s="1245"/>
      <c r="DU116" s="1246"/>
      <c r="DV116" s="1176"/>
      <c r="DW116" s="1247"/>
      <c r="DX116" s="1661"/>
      <c r="DY116" s="1247"/>
      <c r="DZ116" s="1826"/>
      <c r="EA116" s="1213"/>
      <c r="EB116" s="1839"/>
      <c r="EC116" s="1213"/>
      <c r="ED116" s="1970"/>
      <c r="EE116" s="1213"/>
      <c r="EF116" s="1249"/>
      <c r="EG116" s="1826"/>
      <c r="EH116" s="1213"/>
      <c r="EI116" s="1839"/>
      <c r="EJ116" s="1213"/>
      <c r="EK116" s="1970"/>
      <c r="EL116" s="1175"/>
      <c r="EM116" s="1232"/>
      <c r="EN116" s="1250"/>
      <c r="EO116" s="1176"/>
    </row>
    <row r="117" spans="1:174" s="1675" customFormat="1" ht="11.25" customHeight="1" x14ac:dyDescent="0.2">
      <c r="A117" s="1656"/>
      <c r="B117" s="1813"/>
      <c r="C117" s="1175"/>
      <c r="D117" s="1175"/>
      <c r="E117" s="1186"/>
      <c r="F117" s="1175"/>
      <c r="G117" s="1174"/>
      <c r="H117" s="1657"/>
      <c r="I117" s="1174"/>
      <c r="J117" s="1657"/>
      <c r="K117" s="1186"/>
      <c r="L117" s="1188"/>
      <c r="M117" s="1658"/>
      <c r="N117" s="1189"/>
      <c r="O117" s="1659"/>
      <c r="P117" s="1186"/>
      <c r="Q117" s="1185"/>
      <c r="R117" s="1660"/>
      <c r="S117" s="1661"/>
      <c r="T117" s="1190"/>
      <c r="U117" s="1191"/>
      <c r="V117" s="1662"/>
      <c r="W117" s="1663"/>
      <c r="X117" s="1664"/>
      <c r="Y117" s="1193"/>
      <c r="Z117" s="1193"/>
      <c r="AA117" s="1194"/>
      <c r="AB117" s="1665"/>
      <c r="AC117" s="1196"/>
      <c r="AD117" s="1197"/>
      <c r="AE117" s="1198"/>
      <c r="AF117" s="1199"/>
      <c r="AG117" s="1199"/>
      <c r="AH117" s="1200"/>
      <c r="AI117" s="1201"/>
      <c r="AJ117" s="1202"/>
      <c r="AK117" s="1201"/>
      <c r="AL117" s="1203"/>
      <c r="AM117" s="1204"/>
      <c r="AN117" s="1205"/>
      <c r="AO117" s="1206"/>
      <c r="AP117" s="1207"/>
      <c r="AQ117" s="1208"/>
      <c r="AR117" s="1209"/>
      <c r="AS117" s="1210"/>
      <c r="AT117" s="1211"/>
      <c r="AU117" s="1212"/>
      <c r="AV117" s="1213"/>
      <c r="AW117" s="1212"/>
      <c r="AX117" s="1187"/>
      <c r="AY117" s="1176"/>
      <c r="AZ117" s="1666"/>
      <c r="BA117" s="1215"/>
      <c r="BB117" s="1216"/>
      <c r="BC117" s="1667"/>
      <c r="BD117" s="1668"/>
      <c r="BE117" s="1668"/>
      <c r="BF117" s="1217"/>
      <c r="BG117" s="1218"/>
      <c r="BH117" s="1669"/>
      <c r="BI117" s="1670"/>
      <c r="BJ117" s="1220"/>
      <c r="BK117" s="1671"/>
      <c r="BL117" s="1220"/>
      <c r="BM117" s="1672"/>
      <c r="BN117" s="1204"/>
      <c r="BO117" s="1222"/>
      <c r="BP117" s="1223"/>
      <c r="BQ117" s="1224"/>
      <c r="BR117" s="1219"/>
      <c r="BS117" s="1212"/>
      <c r="BT117" s="1673"/>
      <c r="BU117" s="1212"/>
      <c r="BV117" s="1187"/>
      <c r="BW117" s="1226"/>
      <c r="BX117" s="1227"/>
      <c r="BY117" s="1253"/>
      <c r="BZ117" s="1217"/>
      <c r="CA117" s="1228"/>
      <c r="CB117" s="1229"/>
      <c r="CC117" s="1230"/>
      <c r="CD117" s="1194"/>
      <c r="CE117" s="1175"/>
      <c r="CF117" s="1175"/>
      <c r="CG117" s="1254"/>
      <c r="CH117" s="1175"/>
      <c r="CI117" s="1674"/>
      <c r="CJ117" s="1175"/>
      <c r="CK117" s="1232"/>
      <c r="CL117" s="1233"/>
      <c r="CM117" s="1234"/>
      <c r="CN117" s="1233"/>
      <c r="CO117" s="1235"/>
      <c r="CP117" s="1232"/>
      <c r="CQ117" s="1233"/>
      <c r="CR117" s="1234"/>
      <c r="CS117" s="1233"/>
      <c r="CT117" s="1235"/>
      <c r="CU117" s="1236"/>
      <c r="CV117" s="1237"/>
      <c r="CW117" s="1238"/>
      <c r="CX117" s="1239"/>
      <c r="CY117" s="1238"/>
      <c r="CZ117" s="1239"/>
      <c r="DA117" s="1238"/>
      <c r="DB117" s="1239"/>
      <c r="DC117" s="1240"/>
      <c r="DD117" s="1241"/>
      <c r="DE117" s="1241"/>
      <c r="DF117" s="1194"/>
      <c r="DG117" s="1194"/>
      <c r="DH117" s="1194"/>
      <c r="DI117" s="1194"/>
      <c r="DJ117" s="1194"/>
      <c r="DK117" s="1194"/>
      <c r="DL117" s="1217"/>
      <c r="DM117" s="1233"/>
      <c r="DN117" s="1242"/>
      <c r="DO117" s="1736"/>
      <c r="DP117" s="1816"/>
      <c r="DQ117" s="1235"/>
      <c r="DR117" s="1242"/>
      <c r="DS117" s="1825"/>
      <c r="DT117" s="1186"/>
      <c r="DU117" s="1246"/>
      <c r="DV117" s="1176"/>
      <c r="DW117" s="1247"/>
      <c r="DX117" s="1661"/>
      <c r="DY117" s="1247"/>
      <c r="DZ117" s="1826"/>
      <c r="EA117" s="1213"/>
      <c r="EB117" s="1827"/>
      <c r="EC117" s="1213"/>
      <c r="ED117" s="1248"/>
      <c r="EE117" s="1213"/>
      <c r="EF117" s="1249"/>
      <c r="EG117" s="1826"/>
      <c r="EH117" s="1213"/>
      <c r="EI117" s="1213"/>
      <c r="EJ117" s="1213"/>
      <c r="EK117" s="1248"/>
      <c r="EL117" s="1175"/>
      <c r="EM117" s="1232"/>
      <c r="EN117" s="1250"/>
      <c r="EO117" s="1176"/>
      <c r="EP117" s="1251"/>
      <c r="EQ117" s="1251"/>
      <c r="ER117" s="1251"/>
      <c r="ES117" s="1251"/>
      <c r="ET117" s="1251"/>
      <c r="EU117" s="1251"/>
      <c r="EV117" s="1251"/>
      <c r="EW117" s="1251"/>
      <c r="EX117" s="1251"/>
      <c r="EY117" s="1251"/>
      <c r="EZ117" s="1251"/>
      <c r="FA117" s="1251"/>
      <c r="FB117" s="1251"/>
      <c r="FC117" s="1251"/>
      <c r="FD117" s="1251"/>
      <c r="FE117" s="1251"/>
      <c r="FF117" s="1251"/>
      <c r="FG117" s="1251"/>
      <c r="FH117" s="1251"/>
      <c r="FI117" s="1251"/>
      <c r="FJ117" s="1251"/>
      <c r="FK117" s="1251"/>
      <c r="FL117" s="1251"/>
      <c r="FM117" s="1251"/>
      <c r="FN117" s="1731"/>
      <c r="FO117" s="1731"/>
      <c r="FP117" s="1731"/>
      <c r="FQ117" s="1731"/>
      <c r="FR117" s="1731"/>
    </row>
    <row r="118" spans="1:174" s="1251" customFormat="1" ht="11.25" customHeight="1" x14ac:dyDescent="0.2">
      <c r="A118" s="1656"/>
      <c r="B118" s="1813"/>
      <c r="C118" s="1175"/>
      <c r="D118" s="1175"/>
      <c r="E118" s="1186"/>
      <c r="F118" s="1175"/>
      <c r="G118" s="1174"/>
      <c r="H118" s="1657"/>
      <c r="I118" s="1174"/>
      <c r="J118" s="1657"/>
      <c r="K118" s="1186"/>
      <c r="L118" s="1188"/>
      <c r="M118" s="1658"/>
      <c r="N118" s="1189"/>
      <c r="O118" s="1659"/>
      <c r="P118" s="1186"/>
      <c r="Q118" s="1185"/>
      <c r="R118" s="1660"/>
      <c r="S118" s="1661"/>
      <c r="T118" s="1190"/>
      <c r="U118" s="1191"/>
      <c r="V118" s="1662"/>
      <c r="W118" s="1663"/>
      <c r="X118" s="1664"/>
      <c r="Y118" s="1193"/>
      <c r="Z118" s="1193"/>
      <c r="AA118" s="1194"/>
      <c r="AB118" s="1195"/>
      <c r="AC118" s="1196"/>
      <c r="AD118" s="1197"/>
      <c r="AE118" s="1198"/>
      <c r="AF118" s="1199"/>
      <c r="AG118" s="1199"/>
      <c r="AH118" s="1200"/>
      <c r="AI118" s="1201"/>
      <c r="AJ118" s="1202"/>
      <c r="AK118" s="1201"/>
      <c r="AL118" s="1203"/>
      <c r="AM118" s="1204"/>
      <c r="AN118" s="1205"/>
      <c r="AO118" s="1206"/>
      <c r="AP118" s="1207"/>
      <c r="AQ118" s="1208"/>
      <c r="AR118" s="1209"/>
      <c r="AS118" s="1210"/>
      <c r="AT118" s="1211"/>
      <c r="AU118" s="1212"/>
      <c r="AV118" s="1213"/>
      <c r="AW118" s="1212"/>
      <c r="AX118" s="1187"/>
      <c r="AY118" s="1176"/>
      <c r="AZ118" s="1214"/>
      <c r="BA118" s="1215"/>
      <c r="BB118" s="1216"/>
      <c r="BC118" s="1667"/>
      <c r="BD118" s="1668"/>
      <c r="BE118" s="1668"/>
      <c r="BF118" s="1217"/>
      <c r="BG118" s="1218"/>
      <c r="BH118" s="1669"/>
      <c r="BI118" s="1670"/>
      <c r="BJ118" s="1220"/>
      <c r="BK118" s="1671"/>
      <c r="BL118" s="1220"/>
      <c r="BM118" s="1672"/>
      <c r="BN118" s="1204"/>
      <c r="BO118" s="1222"/>
      <c r="BP118" s="1223"/>
      <c r="BQ118" s="1224"/>
      <c r="BR118" s="1219"/>
      <c r="BS118" s="1212"/>
      <c r="BT118" s="1673"/>
      <c r="BU118" s="1212"/>
      <c r="BV118" s="1187"/>
      <c r="BW118" s="1226"/>
      <c r="BX118" s="1227"/>
      <c r="BY118" s="1253"/>
      <c r="BZ118" s="1217"/>
      <c r="CA118" s="1228"/>
      <c r="CB118" s="1229"/>
      <c r="CC118" s="1230"/>
      <c r="CD118" s="1194"/>
      <c r="CE118" s="1175"/>
      <c r="CF118" s="1175"/>
      <c r="CG118" s="1254"/>
      <c r="CH118" s="1175"/>
      <c r="CI118" s="1674"/>
      <c r="CJ118" s="1175"/>
      <c r="CK118" s="1232"/>
      <c r="CL118" s="1233"/>
      <c r="CM118" s="1234"/>
      <c r="CN118" s="1233"/>
      <c r="CO118" s="1235"/>
      <c r="CP118" s="1232"/>
      <c r="CQ118" s="1233"/>
      <c r="CR118" s="1234"/>
      <c r="CS118" s="1233"/>
      <c r="CT118" s="1235"/>
      <c r="CU118" s="1236"/>
      <c r="CV118" s="1237"/>
      <c r="CW118" s="1238"/>
      <c r="CX118" s="1239"/>
      <c r="CY118" s="1238"/>
      <c r="CZ118" s="1239"/>
      <c r="DA118" s="1238"/>
      <c r="DB118" s="1239"/>
      <c r="DC118" s="1240"/>
      <c r="DD118" s="1241"/>
      <c r="DE118" s="1824"/>
      <c r="DF118" s="1194"/>
      <c r="DG118" s="1194"/>
      <c r="DH118" s="1194"/>
      <c r="DI118" s="1194"/>
      <c r="DJ118" s="1194"/>
      <c r="DK118" s="1194"/>
      <c r="DL118" s="1217"/>
      <c r="DM118" s="1233"/>
      <c r="DN118" s="1242"/>
      <c r="DO118" s="1736"/>
      <c r="DP118" s="1816"/>
      <c r="DQ118" s="1235"/>
      <c r="DR118" s="1235"/>
      <c r="DS118" s="1244"/>
      <c r="DT118" s="1245"/>
      <c r="DU118" s="1246"/>
      <c r="DV118" s="1176"/>
      <c r="DW118" s="1247"/>
      <c r="DX118" s="1661"/>
      <c r="DY118" s="1247"/>
      <c r="DZ118" s="1826"/>
      <c r="EA118" s="1213"/>
      <c r="EB118" s="1839"/>
      <c r="EC118" s="1213"/>
      <c r="ED118" s="1248"/>
      <c r="EE118" s="1213"/>
      <c r="EF118" s="1249"/>
      <c r="EG118" s="1826"/>
      <c r="EH118" s="1213"/>
      <c r="EI118" s="1839"/>
      <c r="EJ118" s="1213"/>
      <c r="EK118" s="1248"/>
      <c r="EL118" s="1175"/>
      <c r="EM118" s="1232"/>
      <c r="EN118" s="1250"/>
      <c r="EO118" s="1176"/>
      <c r="FN118" s="1971"/>
      <c r="FO118" s="1971"/>
      <c r="FP118" s="1971"/>
      <c r="FQ118" s="1971"/>
      <c r="FR118" s="1971"/>
    </row>
    <row r="119" spans="1:174" s="1251" customFormat="1" ht="11.25" customHeight="1" x14ac:dyDescent="0.2">
      <c r="A119" s="1656"/>
      <c r="B119" s="1185"/>
      <c r="C119" s="1965"/>
      <c r="D119" s="1175"/>
      <c r="E119" s="1186"/>
      <c r="F119" s="1175"/>
      <c r="G119" s="1174"/>
      <c r="H119" s="1657"/>
      <c r="I119" s="1174"/>
      <c r="J119" s="1657"/>
      <c r="K119" s="1186"/>
      <c r="L119" s="1188"/>
      <c r="M119" s="1658"/>
      <c r="N119" s="1189"/>
      <c r="O119" s="1659"/>
      <c r="P119" s="1186"/>
      <c r="Q119" s="1185"/>
      <c r="R119" s="1660"/>
      <c r="S119" s="1661"/>
      <c r="T119" s="1190"/>
      <c r="U119" s="1191"/>
      <c r="V119" s="1662"/>
      <c r="W119" s="1663"/>
      <c r="X119" s="1664"/>
      <c r="Y119" s="1193"/>
      <c r="Z119" s="1193"/>
      <c r="AA119" s="1194"/>
      <c r="AB119" s="1665"/>
      <c r="AC119" s="1196"/>
      <c r="AD119" s="1197"/>
      <c r="AE119" s="1198"/>
      <c r="AF119" s="1199"/>
      <c r="AG119" s="1199"/>
      <c r="AH119" s="1200"/>
      <c r="AI119" s="1201"/>
      <c r="AJ119" s="1202"/>
      <c r="AK119" s="1201"/>
      <c r="AL119" s="1203"/>
      <c r="AM119" s="1204"/>
      <c r="AN119" s="1205"/>
      <c r="AO119" s="1206"/>
      <c r="AP119" s="1207"/>
      <c r="AQ119" s="1208"/>
      <c r="AR119" s="1209"/>
      <c r="AS119" s="1210"/>
      <c r="AT119" s="1211"/>
      <c r="AU119" s="1212"/>
      <c r="AV119" s="1213"/>
      <c r="AW119" s="1212"/>
      <c r="AX119" s="1187"/>
      <c r="AY119" s="1176"/>
      <c r="AZ119" s="1666"/>
      <c r="BA119" s="1215"/>
      <c r="BB119" s="1216"/>
      <c r="BC119" s="1667"/>
      <c r="BD119" s="1668"/>
      <c r="BE119" s="1668"/>
      <c r="BF119" s="1217"/>
      <c r="BG119" s="1218"/>
      <c r="BH119" s="1669"/>
      <c r="BI119" s="1670"/>
      <c r="BJ119" s="1220"/>
      <c r="BK119" s="1671"/>
      <c r="BL119" s="1220"/>
      <c r="BM119" s="1672"/>
      <c r="BN119" s="1204"/>
      <c r="BO119" s="1222"/>
      <c r="BP119" s="1223"/>
      <c r="BQ119" s="1224"/>
      <c r="BR119" s="1219"/>
      <c r="BS119" s="1212"/>
      <c r="BT119" s="1673"/>
      <c r="BU119" s="1212"/>
      <c r="BV119" s="1187"/>
      <c r="BW119" s="1226"/>
      <c r="BX119" s="1227"/>
      <c r="BY119" s="1253"/>
      <c r="BZ119" s="1217"/>
      <c r="CA119" s="1228"/>
      <c r="CB119" s="1229"/>
      <c r="CC119" s="1230"/>
      <c r="CD119" s="1194"/>
      <c r="CE119" s="1175"/>
      <c r="CF119" s="1175"/>
      <c r="CG119" s="1254"/>
      <c r="CH119" s="1175"/>
      <c r="CI119" s="1674"/>
      <c r="CJ119" s="1175"/>
      <c r="CK119" s="1232"/>
      <c r="CL119" s="1233"/>
      <c r="CM119" s="1234"/>
      <c r="CN119" s="1233"/>
      <c r="CO119" s="1235"/>
      <c r="CP119" s="1232"/>
      <c r="CQ119" s="1233"/>
      <c r="CR119" s="1234"/>
      <c r="CS119" s="1233"/>
      <c r="CT119" s="1235"/>
      <c r="CU119" s="1236"/>
      <c r="CV119" s="1237"/>
      <c r="CW119" s="1238"/>
      <c r="CX119" s="1239"/>
      <c r="CY119" s="1238"/>
      <c r="CZ119" s="1239"/>
      <c r="DA119" s="1238"/>
      <c r="DB119" s="1239"/>
      <c r="DC119" s="1240"/>
      <c r="DD119" s="1241"/>
      <c r="DE119" s="1241"/>
      <c r="DF119" s="1194"/>
      <c r="DG119" s="1194"/>
      <c r="DH119" s="1194"/>
      <c r="DI119" s="1194"/>
      <c r="DJ119" s="1194"/>
      <c r="DK119" s="1194"/>
      <c r="DL119" s="1217"/>
      <c r="DM119" s="1233"/>
      <c r="DN119" s="1242"/>
      <c r="DO119" s="1736"/>
      <c r="DP119" s="1816"/>
      <c r="DQ119" s="1235"/>
      <c r="DR119" s="1242"/>
      <c r="DS119" s="1825"/>
      <c r="DT119" s="1186"/>
      <c r="DU119" s="1246"/>
      <c r="DV119" s="1176"/>
      <c r="DW119" s="1247"/>
      <c r="DX119" s="1661"/>
      <c r="DY119" s="1247"/>
      <c r="DZ119" s="1826"/>
      <c r="EA119" s="1213"/>
      <c r="EB119" s="1213"/>
      <c r="EC119" s="1213"/>
      <c r="ED119" s="1248"/>
      <c r="EE119" s="1213"/>
      <c r="EF119" s="1249"/>
      <c r="EG119" s="1826"/>
      <c r="EH119" s="1213"/>
      <c r="EI119" s="1213"/>
      <c r="EJ119" s="1213"/>
      <c r="EK119" s="1248"/>
      <c r="EL119" s="1175"/>
      <c r="EM119" s="1232"/>
      <c r="EN119" s="1250"/>
      <c r="EO119" s="1176"/>
    </row>
    <row r="120" spans="1:174" s="1674" customFormat="1" ht="11.25" customHeight="1" x14ac:dyDescent="0.2">
      <c r="A120" s="1656"/>
      <c r="B120" s="1813"/>
      <c r="C120" s="1175"/>
      <c r="D120" s="1175"/>
      <c r="E120" s="1186"/>
      <c r="F120" s="1175"/>
      <c r="G120" s="1174"/>
      <c r="H120" s="1657"/>
      <c r="I120" s="1174"/>
      <c r="J120" s="1657"/>
      <c r="K120" s="1186"/>
      <c r="L120" s="1188"/>
      <c r="M120" s="1658"/>
      <c r="N120" s="1189"/>
      <c r="O120" s="1659"/>
      <c r="P120" s="1186"/>
      <c r="Q120" s="1185"/>
      <c r="R120" s="1660"/>
      <c r="S120" s="1661"/>
      <c r="T120" s="1190"/>
      <c r="U120" s="1191"/>
      <c r="V120" s="1662"/>
      <c r="W120" s="1663"/>
      <c r="X120" s="1664"/>
      <c r="Y120" s="1193"/>
      <c r="Z120" s="1193"/>
      <c r="AA120" s="1194"/>
      <c r="AB120" s="1665"/>
      <c r="AC120" s="1196"/>
      <c r="AD120" s="1197"/>
      <c r="AE120" s="1198"/>
      <c r="AF120" s="1199"/>
      <c r="AG120" s="1199"/>
      <c r="AH120" s="1200"/>
      <c r="AI120" s="1201"/>
      <c r="AJ120" s="1202"/>
      <c r="AK120" s="1201"/>
      <c r="AL120" s="1203"/>
      <c r="AM120" s="1204"/>
      <c r="AN120" s="1205"/>
      <c r="AO120" s="1206"/>
      <c r="AP120" s="1207"/>
      <c r="AQ120" s="1208"/>
      <c r="AR120" s="1209"/>
      <c r="AS120" s="1210"/>
      <c r="AT120" s="1211"/>
      <c r="AU120" s="1212"/>
      <c r="AV120" s="1213"/>
      <c r="AW120" s="1212"/>
      <c r="AX120" s="1187"/>
      <c r="AY120" s="1176"/>
      <c r="AZ120" s="1666"/>
      <c r="BA120" s="1215"/>
      <c r="BB120" s="1216"/>
      <c r="BC120" s="1667"/>
      <c r="BD120" s="1668"/>
      <c r="BE120" s="1668"/>
      <c r="BF120" s="1217"/>
      <c r="BG120" s="1218"/>
      <c r="BH120" s="1669"/>
      <c r="BI120" s="1670"/>
      <c r="BJ120" s="1220"/>
      <c r="BK120" s="1671"/>
      <c r="BL120" s="1220"/>
      <c r="BM120" s="1672"/>
      <c r="BN120" s="1204"/>
      <c r="BO120" s="1222"/>
      <c r="BP120" s="1223"/>
      <c r="BQ120" s="1224"/>
      <c r="BR120" s="1219"/>
      <c r="BS120" s="1212"/>
      <c r="BT120" s="1673"/>
      <c r="BU120" s="1212"/>
      <c r="BV120" s="1187"/>
      <c r="BW120" s="1226"/>
      <c r="BX120" s="1227"/>
      <c r="BY120" s="1253"/>
      <c r="BZ120" s="1217"/>
      <c r="CA120" s="1228"/>
      <c r="CB120" s="1229"/>
      <c r="CC120" s="1230"/>
      <c r="CD120" s="1194"/>
      <c r="CE120" s="1175"/>
      <c r="CF120" s="1175"/>
      <c r="CG120" s="1254"/>
      <c r="CH120" s="1175"/>
      <c r="CJ120" s="1175"/>
      <c r="CK120" s="1232"/>
      <c r="CL120" s="1233"/>
      <c r="CM120" s="1234"/>
      <c r="CN120" s="1233"/>
      <c r="CO120" s="1235"/>
      <c r="CP120" s="1232"/>
      <c r="CQ120" s="1233"/>
      <c r="CR120" s="1234"/>
      <c r="CS120" s="1233"/>
      <c r="CT120" s="1235"/>
      <c r="CU120" s="1236"/>
      <c r="CV120" s="1237"/>
      <c r="CW120" s="1238"/>
      <c r="CX120" s="1239"/>
      <c r="CY120" s="1238"/>
      <c r="CZ120" s="1239"/>
      <c r="DA120" s="1238"/>
      <c r="DB120" s="1239"/>
      <c r="DC120" s="1240"/>
      <c r="DD120" s="1241"/>
      <c r="DE120" s="1241"/>
      <c r="DF120" s="1194"/>
      <c r="DG120" s="1194"/>
      <c r="DH120" s="1194"/>
      <c r="DI120" s="1194"/>
      <c r="DJ120" s="1194"/>
      <c r="DK120" s="1194"/>
      <c r="DL120" s="1217"/>
      <c r="DM120" s="1233"/>
      <c r="DN120" s="1242"/>
      <c r="DO120" s="1736"/>
      <c r="DP120" s="1816"/>
      <c r="DQ120" s="1235"/>
      <c r="DR120" s="1242"/>
      <c r="DS120" s="1825"/>
      <c r="DT120" s="1186"/>
      <c r="DU120" s="1246"/>
      <c r="DV120" s="1176"/>
      <c r="DW120" s="1247"/>
      <c r="DX120" s="1661"/>
      <c r="DY120" s="1247"/>
      <c r="DZ120" s="1826"/>
      <c r="EA120" s="1213"/>
      <c r="EB120" s="1827"/>
      <c r="EC120" s="1213"/>
      <c r="ED120" s="1248"/>
      <c r="EE120" s="1213"/>
      <c r="EF120" s="1249"/>
      <c r="EG120" s="1211"/>
      <c r="EH120" s="1213"/>
      <c r="EI120" s="1827"/>
      <c r="EJ120" s="1213"/>
      <c r="EK120" s="1248"/>
      <c r="EL120" s="1175"/>
      <c r="EM120" s="1232"/>
      <c r="EN120" s="1250"/>
      <c r="EO120" s="1176"/>
    </row>
    <row r="121" spans="1:174" s="1867" customFormat="1" ht="11.25" customHeight="1" x14ac:dyDescent="0.2">
      <c r="A121" s="1656"/>
      <c r="B121" s="1185"/>
      <c r="C121" s="1965"/>
      <c r="D121" s="1175"/>
      <c r="E121" s="1186"/>
      <c r="F121" s="1175"/>
      <c r="G121" s="1174"/>
      <c r="H121" s="1657"/>
      <c r="I121" s="1174"/>
      <c r="J121" s="1657"/>
      <c r="K121" s="1186"/>
      <c r="L121" s="1188"/>
      <c r="M121" s="1658"/>
      <c r="N121" s="1189"/>
      <c r="O121" s="1659"/>
      <c r="P121" s="1186"/>
      <c r="Q121" s="1185"/>
      <c r="R121" s="1660"/>
      <c r="S121" s="1661"/>
      <c r="T121" s="1190"/>
      <c r="U121" s="1191"/>
      <c r="V121" s="1662"/>
      <c r="W121" s="1663"/>
      <c r="X121" s="1664"/>
      <c r="Y121" s="1193"/>
      <c r="Z121" s="1193"/>
      <c r="AA121" s="1194"/>
      <c r="AB121" s="1665"/>
      <c r="AC121" s="1196"/>
      <c r="AD121" s="1197"/>
      <c r="AE121" s="1198"/>
      <c r="AF121" s="1199"/>
      <c r="AG121" s="1199"/>
      <c r="AH121" s="1200"/>
      <c r="AI121" s="1201"/>
      <c r="AJ121" s="1202"/>
      <c r="AK121" s="1201"/>
      <c r="AL121" s="1203"/>
      <c r="AM121" s="1204"/>
      <c r="AN121" s="1205"/>
      <c r="AO121" s="1206"/>
      <c r="AP121" s="1207"/>
      <c r="AQ121" s="1208"/>
      <c r="AR121" s="1209"/>
      <c r="AS121" s="1210"/>
      <c r="AT121" s="1211"/>
      <c r="AU121" s="1858"/>
      <c r="AV121" s="1213"/>
      <c r="AW121" s="1212"/>
      <c r="AX121" s="1187"/>
      <c r="AY121" s="1176"/>
      <c r="AZ121" s="1214"/>
      <c r="BA121" s="1215"/>
      <c r="BB121" s="1216"/>
      <c r="BC121" s="1667"/>
      <c r="BD121" s="1668"/>
      <c r="BE121" s="1668"/>
      <c r="BF121" s="1217"/>
      <c r="BG121" s="1218"/>
      <c r="BH121" s="1669"/>
      <c r="BI121" s="1670"/>
      <c r="BJ121" s="1220"/>
      <c r="BK121" s="1671"/>
      <c r="BL121" s="1220"/>
      <c r="BM121" s="1672"/>
      <c r="BN121" s="1204"/>
      <c r="BO121" s="1222"/>
      <c r="BP121" s="1223"/>
      <c r="BQ121" s="1224"/>
      <c r="BR121" s="1219"/>
      <c r="BS121" s="1212"/>
      <c r="BT121" s="1673"/>
      <c r="BU121" s="1212"/>
      <c r="BV121" s="1187"/>
      <c r="BW121" s="1226"/>
      <c r="BX121" s="1227"/>
      <c r="BY121" s="1253"/>
      <c r="BZ121" s="1217"/>
      <c r="CA121" s="1228"/>
      <c r="CB121" s="1229"/>
      <c r="CC121" s="1230"/>
      <c r="CD121" s="1194"/>
      <c r="CE121" s="1175"/>
      <c r="CF121" s="1175"/>
      <c r="CG121" s="1254"/>
      <c r="CH121" s="1175"/>
      <c r="CI121" s="1674"/>
      <c r="CJ121" s="1175"/>
      <c r="CK121" s="1232"/>
      <c r="CL121" s="1233"/>
      <c r="CM121" s="1234"/>
      <c r="CN121" s="1233"/>
      <c r="CO121" s="1235"/>
      <c r="CP121" s="1232"/>
      <c r="CQ121" s="1233"/>
      <c r="CR121" s="1234"/>
      <c r="CS121" s="1233"/>
      <c r="CT121" s="1235"/>
      <c r="CU121" s="1236"/>
      <c r="CV121" s="1237"/>
      <c r="CW121" s="1238"/>
      <c r="CX121" s="1239"/>
      <c r="CY121" s="1238"/>
      <c r="CZ121" s="1239"/>
      <c r="DA121" s="1238"/>
      <c r="DB121" s="1239"/>
      <c r="DC121" s="1240"/>
      <c r="DD121" s="1241"/>
      <c r="DE121" s="1241"/>
      <c r="DF121" s="1194"/>
      <c r="DG121" s="1194"/>
      <c r="DH121" s="1194"/>
      <c r="DI121" s="1194"/>
      <c r="DJ121" s="1194"/>
      <c r="DK121" s="1194"/>
      <c r="DL121" s="1217"/>
      <c r="DM121" s="1972"/>
      <c r="DN121" s="1973"/>
      <c r="DO121" s="1736"/>
      <c r="DP121" s="1972"/>
      <c r="DQ121" s="1235"/>
      <c r="DR121" s="1235"/>
      <c r="DS121" s="1244"/>
      <c r="DT121" s="1245"/>
      <c r="DU121" s="1246"/>
      <c r="DV121" s="1176"/>
      <c r="DW121" s="1247"/>
      <c r="DX121" s="1661"/>
      <c r="DY121" s="1247"/>
      <c r="DZ121" s="1860"/>
      <c r="EA121" s="1213"/>
      <c r="EB121" s="1827"/>
      <c r="EC121" s="1213"/>
      <c r="ED121" s="1248"/>
      <c r="EE121" s="1213"/>
      <c r="EF121" s="1249"/>
      <c r="EG121" s="1860"/>
      <c r="EH121" s="1213"/>
      <c r="EI121" s="1827"/>
      <c r="EJ121" s="1213"/>
      <c r="EK121" s="1248"/>
      <c r="EL121" s="1175"/>
      <c r="EM121" s="1232"/>
      <c r="EN121" s="1250"/>
      <c r="EO121" s="1176"/>
      <c r="EP121" s="1251"/>
      <c r="EQ121" s="1251"/>
      <c r="ER121" s="1251"/>
      <c r="ES121" s="1251"/>
      <c r="ET121" s="1251"/>
      <c r="EU121" s="1251"/>
      <c r="EV121" s="1251"/>
      <c r="EW121" s="1251"/>
      <c r="EX121" s="1251"/>
      <c r="EY121" s="1251"/>
      <c r="EZ121" s="1251"/>
      <c r="FA121" s="1251"/>
      <c r="FB121" s="1251"/>
      <c r="FC121" s="1251"/>
      <c r="FD121" s="1251"/>
      <c r="FE121" s="1251"/>
      <c r="FF121" s="1251"/>
      <c r="FG121" s="1251"/>
      <c r="FH121" s="1251"/>
      <c r="FI121" s="1251"/>
      <c r="FJ121" s="1251"/>
      <c r="FK121" s="1251"/>
      <c r="FL121" s="1251"/>
      <c r="FM121" s="1251"/>
      <c r="FN121" s="1251"/>
      <c r="FO121" s="1251"/>
      <c r="FP121" s="1251"/>
      <c r="FQ121" s="1251"/>
      <c r="FR121" s="1251"/>
    </row>
    <row r="122" spans="1:174" s="1975" customFormat="1" ht="11.25" customHeight="1" x14ac:dyDescent="0.2">
      <c r="A122" s="1656"/>
      <c r="B122" s="1813"/>
      <c r="C122" s="1175"/>
      <c r="D122" s="1175"/>
      <c r="E122" s="1186"/>
      <c r="F122" s="1175"/>
      <c r="G122" s="1174"/>
      <c r="H122" s="1657"/>
      <c r="I122" s="1174"/>
      <c r="J122" s="1657"/>
      <c r="K122" s="1186"/>
      <c r="L122" s="1188"/>
      <c r="M122" s="1658"/>
      <c r="N122" s="1189"/>
      <c r="O122" s="1659"/>
      <c r="P122" s="1186"/>
      <c r="Q122" s="1185"/>
      <c r="R122" s="1660"/>
      <c r="S122" s="1661"/>
      <c r="T122" s="1190"/>
      <c r="U122" s="1191"/>
      <c r="V122" s="1662"/>
      <c r="W122" s="1663"/>
      <c r="X122" s="1664"/>
      <c r="Y122" s="1193"/>
      <c r="Z122" s="1193"/>
      <c r="AA122" s="1194"/>
      <c r="AB122" s="1665"/>
      <c r="AC122" s="1196"/>
      <c r="AD122" s="1197"/>
      <c r="AE122" s="1198"/>
      <c r="AF122" s="1199"/>
      <c r="AG122" s="1199"/>
      <c r="AH122" s="1200"/>
      <c r="AI122" s="1201"/>
      <c r="AJ122" s="1202"/>
      <c r="AK122" s="1201"/>
      <c r="AL122" s="1203"/>
      <c r="AM122" s="1204"/>
      <c r="AN122" s="1205"/>
      <c r="AO122" s="1206"/>
      <c r="AP122" s="1207"/>
      <c r="AQ122" s="1208"/>
      <c r="AR122" s="1209"/>
      <c r="AS122" s="1210"/>
      <c r="AT122" s="1211"/>
      <c r="AU122" s="1212"/>
      <c r="AV122" s="1213"/>
      <c r="AW122" s="1212"/>
      <c r="AX122" s="1187"/>
      <c r="AY122" s="1176"/>
      <c r="AZ122" s="1666"/>
      <c r="BA122" s="1215"/>
      <c r="BB122" s="1216"/>
      <c r="BC122" s="1667"/>
      <c r="BD122" s="1668"/>
      <c r="BE122" s="1668"/>
      <c r="BF122" s="1217"/>
      <c r="BG122" s="1218"/>
      <c r="BH122" s="1669"/>
      <c r="BI122" s="1670"/>
      <c r="BJ122" s="1220"/>
      <c r="BK122" s="1671"/>
      <c r="BL122" s="1220"/>
      <c r="BM122" s="1672"/>
      <c r="BN122" s="1204"/>
      <c r="BO122" s="1222"/>
      <c r="BP122" s="1223"/>
      <c r="BQ122" s="1224"/>
      <c r="BR122" s="1219"/>
      <c r="BS122" s="1212"/>
      <c r="BT122" s="1673"/>
      <c r="BU122" s="1212"/>
      <c r="BV122" s="1187"/>
      <c r="BW122" s="1226"/>
      <c r="BX122" s="1227"/>
      <c r="BY122" s="1253"/>
      <c r="BZ122" s="1217"/>
      <c r="CA122" s="1228"/>
      <c r="CB122" s="1229"/>
      <c r="CC122" s="1230"/>
      <c r="CD122" s="1194"/>
      <c r="CE122" s="1175"/>
      <c r="CF122" s="1175"/>
      <c r="CG122" s="1254"/>
      <c r="CH122" s="1175"/>
      <c r="CI122" s="1674"/>
      <c r="CJ122" s="1175"/>
      <c r="CK122" s="1232"/>
      <c r="CL122" s="1233"/>
      <c r="CM122" s="1234"/>
      <c r="CN122" s="1233"/>
      <c r="CO122" s="1235"/>
      <c r="CP122" s="1232"/>
      <c r="CQ122" s="1233"/>
      <c r="CR122" s="1234"/>
      <c r="CS122" s="1233"/>
      <c r="CT122" s="1235"/>
      <c r="CU122" s="1236"/>
      <c r="CV122" s="1237"/>
      <c r="CW122" s="1238"/>
      <c r="CX122" s="1239"/>
      <c r="CY122" s="1238"/>
      <c r="CZ122" s="1239"/>
      <c r="DA122" s="1238"/>
      <c r="DB122" s="1239"/>
      <c r="DC122" s="1240"/>
      <c r="DD122" s="1241"/>
      <c r="DE122" s="1241"/>
      <c r="DF122" s="1194"/>
      <c r="DG122" s="1194"/>
      <c r="DH122" s="1194"/>
      <c r="DI122" s="1194"/>
      <c r="DJ122" s="1194"/>
      <c r="DK122" s="1194"/>
      <c r="DL122" s="1217"/>
      <c r="DM122" s="1233"/>
      <c r="DN122" s="1242"/>
      <c r="DO122" s="1736"/>
      <c r="DP122" s="1816"/>
      <c r="DQ122" s="1235"/>
      <c r="DR122" s="1242"/>
      <c r="DS122" s="1825"/>
      <c r="DT122" s="1186"/>
      <c r="DU122" s="1246"/>
      <c r="DV122" s="1176"/>
      <c r="DW122" s="1247"/>
      <c r="DX122" s="1661"/>
      <c r="DY122" s="1247"/>
      <c r="DZ122" s="1974"/>
      <c r="EA122" s="1213"/>
      <c r="EB122" s="1213"/>
      <c r="EC122" s="1213"/>
      <c r="ED122" s="1248"/>
      <c r="EE122" s="1213"/>
      <c r="EF122" s="1249"/>
      <c r="EG122" s="1211"/>
      <c r="EH122" s="1213"/>
      <c r="EI122" s="1213"/>
      <c r="EJ122" s="1213"/>
      <c r="EK122" s="1248"/>
      <c r="EL122" s="1175"/>
      <c r="EM122" s="1232"/>
      <c r="EN122" s="1250"/>
      <c r="EO122" s="1176"/>
      <c r="EP122" s="1251"/>
      <c r="EQ122" s="1251"/>
      <c r="ER122" s="1251"/>
      <c r="ES122" s="1251"/>
      <c r="ET122" s="1251"/>
      <c r="EU122" s="1251"/>
      <c r="EV122" s="1251"/>
      <c r="EW122" s="1251"/>
      <c r="EX122" s="1251"/>
      <c r="EY122" s="1251"/>
      <c r="EZ122" s="1251"/>
      <c r="FA122" s="1251"/>
      <c r="FB122" s="1251"/>
      <c r="FC122" s="1251"/>
      <c r="FD122" s="1251"/>
      <c r="FE122" s="1251"/>
      <c r="FF122" s="1251"/>
      <c r="FG122" s="1251"/>
      <c r="FH122" s="1251"/>
      <c r="FI122" s="1251"/>
      <c r="FJ122" s="1251"/>
      <c r="FK122" s="1251"/>
      <c r="FL122" s="1251"/>
      <c r="FM122" s="1251"/>
      <c r="FN122" s="1251"/>
      <c r="FO122" s="1251"/>
      <c r="FP122" s="1251"/>
      <c r="FQ122" s="1251"/>
      <c r="FR122" s="1251"/>
    </row>
    <row r="123" spans="1:174" s="1251" customFormat="1" ht="11.25" customHeight="1" x14ac:dyDescent="0.2">
      <c r="A123" s="1656"/>
      <c r="B123" s="1185"/>
      <c r="C123" s="1965"/>
      <c r="D123" s="1175"/>
      <c r="E123" s="1186"/>
      <c r="F123" s="1175"/>
      <c r="G123" s="1174"/>
      <c r="H123" s="1657"/>
      <c r="I123" s="1174"/>
      <c r="J123" s="1657"/>
      <c r="K123" s="1186"/>
      <c r="L123" s="1188"/>
      <c r="M123" s="1658"/>
      <c r="N123" s="1189"/>
      <c r="O123" s="1659"/>
      <c r="P123" s="1186"/>
      <c r="Q123" s="1185"/>
      <c r="R123" s="1660"/>
      <c r="S123" s="1661"/>
      <c r="T123" s="1190"/>
      <c r="U123" s="1191"/>
      <c r="V123" s="1662"/>
      <c r="W123" s="1663"/>
      <c r="X123" s="1664"/>
      <c r="Y123" s="1193"/>
      <c r="Z123" s="1193"/>
      <c r="AA123" s="1194"/>
      <c r="AB123" s="1665"/>
      <c r="AC123" s="1196"/>
      <c r="AD123" s="1197"/>
      <c r="AE123" s="1198"/>
      <c r="AF123" s="1199"/>
      <c r="AG123" s="1199"/>
      <c r="AH123" s="1200"/>
      <c r="AI123" s="1201"/>
      <c r="AJ123" s="1202"/>
      <c r="AK123" s="1201"/>
      <c r="AL123" s="1203"/>
      <c r="AM123" s="1204"/>
      <c r="AN123" s="1205"/>
      <c r="AO123" s="1206"/>
      <c r="AP123" s="1207"/>
      <c r="AQ123" s="1208"/>
      <c r="AR123" s="1209"/>
      <c r="AS123" s="1210"/>
      <c r="AT123" s="1211"/>
      <c r="AU123" s="1212"/>
      <c r="AV123" s="1213"/>
      <c r="AW123" s="1212"/>
      <c r="AX123" s="1187"/>
      <c r="AY123" s="1176"/>
      <c r="AZ123" s="1666"/>
      <c r="BA123" s="1215"/>
      <c r="BB123" s="1216"/>
      <c r="BC123" s="1667"/>
      <c r="BD123" s="1668"/>
      <c r="BE123" s="1668"/>
      <c r="BF123" s="1217"/>
      <c r="BG123" s="1218"/>
      <c r="BH123" s="1669"/>
      <c r="BI123" s="1670"/>
      <c r="BJ123" s="1220"/>
      <c r="BK123" s="1671"/>
      <c r="BL123" s="1220"/>
      <c r="BM123" s="1672"/>
      <c r="BN123" s="1204"/>
      <c r="BO123" s="1222"/>
      <c r="BP123" s="1223"/>
      <c r="BQ123" s="1224"/>
      <c r="BR123" s="1219"/>
      <c r="BS123" s="1212"/>
      <c r="BT123" s="1673"/>
      <c r="BU123" s="1212"/>
      <c r="BV123" s="1187"/>
      <c r="BW123" s="1226"/>
      <c r="BX123" s="1227"/>
      <c r="BY123" s="1253"/>
      <c r="BZ123" s="1217"/>
      <c r="CA123" s="1228"/>
      <c r="CB123" s="1229"/>
      <c r="CC123" s="1230"/>
      <c r="CD123" s="1194"/>
      <c r="CE123" s="1175"/>
      <c r="CF123" s="1175"/>
      <c r="CG123" s="1254"/>
      <c r="CH123" s="1175"/>
      <c r="CI123" s="1674"/>
      <c r="CJ123" s="1175"/>
      <c r="CK123" s="1232"/>
      <c r="CL123" s="1233"/>
      <c r="CM123" s="1234"/>
      <c r="CN123" s="1233"/>
      <c r="CO123" s="1235"/>
      <c r="CP123" s="1232"/>
      <c r="CQ123" s="1233"/>
      <c r="CR123" s="1234"/>
      <c r="CS123" s="1233"/>
      <c r="CT123" s="1235"/>
      <c r="CU123" s="1236"/>
      <c r="CV123" s="1237"/>
      <c r="CW123" s="1238"/>
      <c r="CX123" s="1239"/>
      <c r="CY123" s="1238"/>
      <c r="CZ123" s="1239"/>
      <c r="DA123" s="1238"/>
      <c r="DB123" s="1239"/>
      <c r="DC123" s="1240"/>
      <c r="DD123" s="1241"/>
      <c r="DE123" s="1241"/>
      <c r="DF123" s="1194"/>
      <c r="DG123" s="1194"/>
      <c r="DH123" s="1194"/>
      <c r="DI123" s="1194"/>
      <c r="DJ123" s="1194"/>
      <c r="DK123" s="1194"/>
      <c r="DL123" s="1217"/>
      <c r="DM123" s="1233"/>
      <c r="DN123" s="1242"/>
      <c r="DO123" s="1736"/>
      <c r="DP123" s="1816"/>
      <c r="DQ123" s="1235"/>
      <c r="DR123" s="1235"/>
      <c r="DS123" s="1244"/>
      <c r="DT123" s="1245"/>
      <c r="DU123" s="1246"/>
      <c r="DV123" s="1176"/>
      <c r="DW123" s="1247"/>
      <c r="DX123" s="1661"/>
      <c r="DY123" s="1247"/>
      <c r="DZ123" s="1211"/>
      <c r="EA123" s="1213"/>
      <c r="EB123" s="1213"/>
      <c r="EC123" s="1213"/>
      <c r="ED123" s="1248"/>
      <c r="EE123" s="1213"/>
      <c r="EF123" s="1249"/>
      <c r="EG123" s="1211"/>
      <c r="EH123" s="1213"/>
      <c r="EI123" s="1213"/>
      <c r="EJ123" s="1213"/>
      <c r="EK123" s="1248"/>
      <c r="EL123" s="1175"/>
      <c r="EM123" s="1232"/>
      <c r="EN123" s="1250"/>
      <c r="EO123" s="1176"/>
    </row>
    <row r="124" spans="1:174" s="1251" customFormat="1" ht="11.25" customHeight="1" x14ac:dyDescent="0.2">
      <c r="A124" s="1656"/>
      <c r="B124" s="1813"/>
      <c r="C124" s="1175"/>
      <c r="D124" s="1175"/>
      <c r="E124" s="1186"/>
      <c r="F124" s="1175"/>
      <c r="G124" s="1174"/>
      <c r="H124" s="1657"/>
      <c r="I124" s="1174"/>
      <c r="J124" s="1657"/>
      <c r="K124" s="1186"/>
      <c r="L124" s="1188"/>
      <c r="M124" s="1658"/>
      <c r="N124" s="1189"/>
      <c r="O124" s="1659"/>
      <c r="P124" s="1186"/>
      <c r="Q124" s="1185"/>
      <c r="R124" s="1660"/>
      <c r="S124" s="1661"/>
      <c r="T124" s="1190"/>
      <c r="U124" s="1191"/>
      <c r="V124" s="1662"/>
      <c r="W124" s="1663"/>
      <c r="X124" s="1664"/>
      <c r="Y124" s="1193"/>
      <c r="Z124" s="1193"/>
      <c r="AA124" s="1194"/>
      <c r="AB124" s="1665"/>
      <c r="AC124" s="1196"/>
      <c r="AD124" s="1197"/>
      <c r="AE124" s="1198"/>
      <c r="AF124" s="1199"/>
      <c r="AG124" s="1199"/>
      <c r="AH124" s="1200"/>
      <c r="AI124" s="1201"/>
      <c r="AJ124" s="1976"/>
      <c r="AK124" s="1201"/>
      <c r="AL124" s="1203"/>
      <c r="AM124" s="1204"/>
      <c r="AN124" s="1205"/>
      <c r="AO124" s="1206"/>
      <c r="AP124" s="1207"/>
      <c r="AQ124" s="1208"/>
      <c r="AR124" s="1209"/>
      <c r="AS124" s="1210"/>
      <c r="AT124" s="1211"/>
      <c r="AU124" s="1212"/>
      <c r="AV124" s="1213"/>
      <c r="AW124" s="1212"/>
      <c r="AX124" s="1778"/>
      <c r="AY124" s="1176"/>
      <c r="AZ124" s="1666"/>
      <c r="BA124" s="1215"/>
      <c r="BB124" s="1216"/>
      <c r="BC124" s="1667"/>
      <c r="BD124" s="1668"/>
      <c r="BE124" s="1668"/>
      <c r="BF124" s="1217"/>
      <c r="BG124" s="1218"/>
      <c r="BH124" s="1669"/>
      <c r="BI124" s="1670"/>
      <c r="BJ124" s="1220"/>
      <c r="BK124" s="1671"/>
      <c r="BL124" s="1220"/>
      <c r="BM124" s="1672"/>
      <c r="BN124" s="1204"/>
      <c r="BO124" s="1222"/>
      <c r="BP124" s="1223"/>
      <c r="BQ124" s="1224"/>
      <c r="BR124" s="1219"/>
      <c r="BS124" s="1212"/>
      <c r="BT124" s="1673"/>
      <c r="BU124" s="1212"/>
      <c r="BV124" s="1187"/>
      <c r="BW124" s="1226"/>
      <c r="BX124" s="1227"/>
      <c r="BY124" s="1253"/>
      <c r="BZ124" s="1217"/>
      <c r="CA124" s="1228"/>
      <c r="CB124" s="1229"/>
      <c r="CC124" s="1230"/>
      <c r="CD124" s="1194"/>
      <c r="CE124" s="1175"/>
      <c r="CF124" s="1175"/>
      <c r="CG124" s="1254"/>
      <c r="CH124" s="1175"/>
      <c r="CI124" s="1175"/>
      <c r="CJ124" s="1175"/>
      <c r="CK124" s="1232"/>
      <c r="CL124" s="1233"/>
      <c r="CM124" s="1234"/>
      <c r="CN124" s="1233"/>
      <c r="CO124" s="1235"/>
      <c r="CP124" s="1232"/>
      <c r="CQ124" s="1233"/>
      <c r="CR124" s="1234"/>
      <c r="CS124" s="1233"/>
      <c r="CT124" s="1235"/>
      <c r="CU124" s="1236"/>
      <c r="CV124" s="1237"/>
      <c r="CW124" s="1238"/>
      <c r="CX124" s="1239"/>
      <c r="CY124" s="1238"/>
      <c r="CZ124" s="1239"/>
      <c r="DA124" s="1238"/>
      <c r="DB124" s="1239"/>
      <c r="DC124" s="1240"/>
      <c r="DD124" s="1241"/>
      <c r="DE124" s="1241"/>
      <c r="DF124" s="1194"/>
      <c r="DG124" s="1194"/>
      <c r="DH124" s="1194"/>
      <c r="DI124" s="1194"/>
      <c r="DJ124" s="1194"/>
      <c r="DK124" s="1194"/>
      <c r="DL124" s="1217"/>
      <c r="DM124" s="1233"/>
      <c r="DN124" s="1242"/>
      <c r="DO124" s="1736"/>
      <c r="DP124" s="1816"/>
      <c r="DQ124" s="1235"/>
      <c r="DR124" s="1235"/>
      <c r="DS124" s="1244"/>
      <c r="DT124" s="1245"/>
      <c r="DU124" s="1246"/>
      <c r="DV124" s="1176"/>
      <c r="DW124" s="1247"/>
      <c r="DX124" s="1661"/>
      <c r="DY124" s="1247"/>
      <c r="DZ124" s="1211"/>
      <c r="EA124" s="1213"/>
      <c r="EB124" s="1869"/>
      <c r="EC124" s="1213"/>
      <c r="ED124" s="1248"/>
      <c r="EE124" s="1213"/>
      <c r="EF124" s="1249"/>
      <c r="EG124" s="1211"/>
      <c r="EH124" s="1213"/>
      <c r="EI124" s="1869"/>
      <c r="EJ124" s="1213"/>
      <c r="EK124" s="1248"/>
      <c r="EL124" s="1175"/>
      <c r="EM124" s="1232"/>
      <c r="EN124" s="1250"/>
      <c r="EO124" s="1176"/>
      <c r="FM124" s="1884"/>
    </row>
    <row r="125" spans="1:174" s="1977" customFormat="1" ht="11.25" customHeight="1" x14ac:dyDescent="0.2">
      <c r="A125" s="1656"/>
      <c r="B125" s="1813"/>
      <c r="C125" s="1175"/>
      <c r="D125" s="1175"/>
      <c r="E125" s="1186"/>
      <c r="F125" s="1175"/>
      <c r="G125" s="1174"/>
      <c r="H125" s="1657"/>
      <c r="I125" s="1174"/>
      <c r="J125" s="1657"/>
      <c r="K125" s="1186"/>
      <c r="L125" s="1188"/>
      <c r="M125" s="1658"/>
      <c r="N125" s="1189"/>
      <c r="O125" s="1659"/>
      <c r="P125" s="1186"/>
      <c r="Q125" s="1185"/>
      <c r="R125" s="1660"/>
      <c r="S125" s="1661"/>
      <c r="T125" s="1190"/>
      <c r="U125" s="1191"/>
      <c r="V125" s="1662"/>
      <c r="W125" s="1663"/>
      <c r="X125" s="1664"/>
      <c r="Y125" s="1193"/>
      <c r="Z125" s="1193"/>
      <c r="AA125" s="1194"/>
      <c r="AB125" s="1665"/>
      <c r="AC125" s="1196"/>
      <c r="AD125" s="1197"/>
      <c r="AE125" s="1198"/>
      <c r="AF125" s="1199"/>
      <c r="AG125" s="1199"/>
      <c r="AH125" s="1200"/>
      <c r="AI125" s="1201"/>
      <c r="AJ125" s="1202"/>
      <c r="AK125" s="1201"/>
      <c r="AL125" s="1203"/>
      <c r="AM125" s="1204"/>
      <c r="AN125" s="1205"/>
      <c r="AO125" s="1206"/>
      <c r="AP125" s="1207"/>
      <c r="AQ125" s="1208"/>
      <c r="AR125" s="1209"/>
      <c r="AS125" s="1210"/>
      <c r="AT125" s="1211"/>
      <c r="AU125" s="1212"/>
      <c r="AV125" s="1213"/>
      <c r="AW125" s="1212"/>
      <c r="AX125" s="1187"/>
      <c r="AY125" s="1176"/>
      <c r="AZ125" s="1666"/>
      <c r="BA125" s="1215"/>
      <c r="BB125" s="1216"/>
      <c r="BC125" s="1667"/>
      <c r="BD125" s="1668"/>
      <c r="BE125" s="1668"/>
      <c r="BF125" s="1217"/>
      <c r="BG125" s="1218"/>
      <c r="BH125" s="1669"/>
      <c r="BI125" s="1670"/>
      <c r="BJ125" s="1220"/>
      <c r="BK125" s="1671"/>
      <c r="BL125" s="1220"/>
      <c r="BM125" s="1672"/>
      <c r="BN125" s="1204"/>
      <c r="BO125" s="1222"/>
      <c r="BP125" s="1223"/>
      <c r="BQ125" s="1224"/>
      <c r="BR125" s="1219"/>
      <c r="BS125" s="1212"/>
      <c r="BT125" s="1673"/>
      <c r="BU125" s="1212"/>
      <c r="BV125" s="1187"/>
      <c r="BW125" s="1226"/>
      <c r="BX125" s="1227"/>
      <c r="BY125" s="1253"/>
      <c r="BZ125" s="1217"/>
      <c r="CA125" s="1228"/>
      <c r="CB125" s="1229"/>
      <c r="CC125" s="1230"/>
      <c r="CD125" s="1194"/>
      <c r="CE125" s="1175"/>
      <c r="CF125" s="1175"/>
      <c r="CG125" s="1254"/>
      <c r="CH125" s="1175"/>
      <c r="CI125" s="1674"/>
      <c r="CJ125" s="1175"/>
      <c r="CK125" s="1232"/>
      <c r="CL125" s="1233"/>
      <c r="CM125" s="1234"/>
      <c r="CN125" s="1233"/>
      <c r="CO125" s="1235"/>
      <c r="CP125" s="1232"/>
      <c r="CQ125" s="1233"/>
      <c r="CR125" s="1234"/>
      <c r="CS125" s="1233"/>
      <c r="CT125" s="1235"/>
      <c r="CU125" s="1236"/>
      <c r="CV125" s="1237"/>
      <c r="CW125" s="1238"/>
      <c r="CX125" s="1239"/>
      <c r="CY125" s="1238"/>
      <c r="CZ125" s="1239"/>
      <c r="DA125" s="1238"/>
      <c r="DB125" s="1239"/>
      <c r="DC125" s="1240"/>
      <c r="DD125" s="1241"/>
      <c r="DE125" s="1241"/>
      <c r="DF125" s="1194"/>
      <c r="DG125" s="1194"/>
      <c r="DH125" s="1194"/>
      <c r="DI125" s="1194"/>
      <c r="DJ125" s="1194"/>
      <c r="DK125" s="1194"/>
      <c r="DL125" s="1217"/>
      <c r="DM125" s="1233"/>
      <c r="DN125" s="1242"/>
      <c r="DO125" s="1736"/>
      <c r="DP125" s="1243"/>
      <c r="DQ125" s="1242"/>
      <c r="DR125" s="1242"/>
      <c r="DS125" s="1825"/>
      <c r="DT125" s="1186"/>
      <c r="DU125" s="1246"/>
      <c r="DV125" s="1176"/>
      <c r="DW125" s="1247"/>
      <c r="DX125" s="1661"/>
      <c r="DY125" s="1247"/>
      <c r="DZ125" s="1211"/>
      <c r="EA125" s="1213"/>
      <c r="EB125" s="1213"/>
      <c r="EC125" s="1213"/>
      <c r="ED125" s="1248"/>
      <c r="EE125" s="1213"/>
      <c r="EF125" s="1249"/>
      <c r="EG125" s="1211"/>
      <c r="EH125" s="1213"/>
      <c r="EI125" s="1213"/>
      <c r="EJ125" s="1213"/>
      <c r="EK125" s="1248"/>
      <c r="EL125" s="1175"/>
      <c r="EM125" s="1232"/>
      <c r="EN125" s="1250"/>
      <c r="EO125" s="1176"/>
      <c r="EP125" s="1840"/>
      <c r="EQ125" s="1840"/>
      <c r="ER125" s="1840"/>
      <c r="ES125" s="1840"/>
      <c r="ET125" s="1840"/>
      <c r="EU125" s="1840"/>
      <c r="EV125" s="1840"/>
      <c r="EW125" s="1840"/>
      <c r="EX125" s="1840"/>
      <c r="EY125" s="1840"/>
      <c r="EZ125" s="1840"/>
      <c r="FA125" s="1840"/>
      <c r="FB125" s="1840"/>
      <c r="FC125" s="1840"/>
      <c r="FD125" s="1840"/>
      <c r="FE125" s="1840"/>
      <c r="FF125" s="1840"/>
      <c r="FG125" s="1840"/>
      <c r="FH125" s="1840"/>
      <c r="FI125" s="1840"/>
      <c r="FJ125" s="1840"/>
      <c r="FK125" s="1840"/>
      <c r="FL125" s="1840"/>
      <c r="FM125" s="1251"/>
      <c r="FN125" s="1251"/>
      <c r="FO125" s="1251"/>
      <c r="FP125" s="1251"/>
      <c r="FQ125" s="1251"/>
      <c r="FR125" s="1251"/>
    </row>
    <row r="126" spans="1:174" s="1251" customFormat="1" ht="11.25" customHeight="1" x14ac:dyDescent="0.2">
      <c r="A126" s="1656"/>
      <c r="B126" s="1185"/>
      <c r="C126" s="1965"/>
      <c r="D126" s="1175"/>
      <c r="E126" s="1186"/>
      <c r="F126" s="1175"/>
      <c r="G126" s="1174"/>
      <c r="H126" s="1657"/>
      <c r="I126" s="1174"/>
      <c r="J126" s="1657"/>
      <c r="K126" s="1186"/>
      <c r="L126" s="1188"/>
      <c r="M126" s="1658"/>
      <c r="N126" s="1189"/>
      <c r="O126" s="1659"/>
      <c r="P126" s="1186"/>
      <c r="Q126" s="1185"/>
      <c r="R126" s="1660"/>
      <c r="S126" s="1661"/>
      <c r="T126" s="1190"/>
      <c r="U126" s="1191"/>
      <c r="V126" s="1662"/>
      <c r="W126" s="1663"/>
      <c r="X126" s="1664"/>
      <c r="Y126" s="1193"/>
      <c r="Z126" s="1193"/>
      <c r="AA126" s="1194"/>
      <c r="AB126" s="1665"/>
      <c r="AC126" s="1196"/>
      <c r="AD126" s="1197"/>
      <c r="AE126" s="1198"/>
      <c r="AF126" s="1199"/>
      <c r="AG126" s="1199"/>
      <c r="AH126" s="1200"/>
      <c r="AI126" s="1201"/>
      <c r="AJ126" s="1202"/>
      <c r="AK126" s="1201"/>
      <c r="AL126" s="1203"/>
      <c r="AM126" s="1204"/>
      <c r="AN126" s="1205"/>
      <c r="AO126" s="1206"/>
      <c r="AP126" s="1207"/>
      <c r="AQ126" s="1208"/>
      <c r="AR126" s="1978"/>
      <c r="AS126" s="1692"/>
      <c r="AT126" s="1211"/>
      <c r="AU126" s="1212"/>
      <c r="AV126" s="1213"/>
      <c r="AW126" s="1212"/>
      <c r="AX126" s="1187"/>
      <c r="AY126" s="1176"/>
      <c r="AZ126" s="1666"/>
      <c r="BA126" s="1215"/>
      <c r="BB126" s="1216"/>
      <c r="BC126" s="1667"/>
      <c r="BD126" s="1668"/>
      <c r="BE126" s="1668"/>
      <c r="BF126" s="1217"/>
      <c r="BG126" s="1218"/>
      <c r="BH126" s="1669"/>
      <c r="BI126" s="1670"/>
      <c r="BJ126" s="1220"/>
      <c r="BK126" s="1671"/>
      <c r="BL126" s="1220"/>
      <c r="BM126" s="1672"/>
      <c r="BN126" s="1204"/>
      <c r="BO126" s="1222"/>
      <c r="BP126" s="1223"/>
      <c r="BQ126" s="1224"/>
      <c r="BR126" s="1219"/>
      <c r="BS126" s="1212"/>
      <c r="BT126" s="1673"/>
      <c r="BU126" s="1212"/>
      <c r="BV126" s="1187"/>
      <c r="BW126" s="1226"/>
      <c r="BX126" s="1227"/>
      <c r="BY126" s="1253"/>
      <c r="BZ126" s="1217"/>
      <c r="CA126" s="1228"/>
      <c r="CB126" s="1229"/>
      <c r="CC126" s="1230"/>
      <c r="CD126" s="1194"/>
      <c r="CE126" s="1175"/>
      <c r="CF126" s="1175"/>
      <c r="CG126" s="1254"/>
      <c r="CH126" s="1217"/>
      <c r="CI126" s="1175"/>
      <c r="CJ126" s="1175"/>
      <c r="CK126" s="1232"/>
      <c r="CL126" s="1233"/>
      <c r="CM126" s="1234"/>
      <c r="CN126" s="1233"/>
      <c r="CO126" s="1235"/>
      <c r="CP126" s="1232"/>
      <c r="CQ126" s="1233"/>
      <c r="CR126" s="1234"/>
      <c r="CS126" s="1233"/>
      <c r="CT126" s="1235"/>
      <c r="CU126" s="1236"/>
      <c r="CV126" s="1237"/>
      <c r="CW126" s="1238"/>
      <c r="CX126" s="1239"/>
      <c r="CY126" s="1238"/>
      <c r="CZ126" s="1239"/>
      <c r="DA126" s="1238"/>
      <c r="DB126" s="1239"/>
      <c r="DC126" s="1240"/>
      <c r="DD126" s="1241"/>
      <c r="DE126" s="1241"/>
      <c r="DF126" s="1194"/>
      <c r="DG126" s="1194"/>
      <c r="DH126" s="1194"/>
      <c r="DI126" s="1194"/>
      <c r="DJ126" s="1194"/>
      <c r="DK126" s="1194"/>
      <c r="DL126" s="1217"/>
      <c r="DM126" s="1967"/>
      <c r="DN126" s="1968"/>
      <c r="DO126" s="1736"/>
      <c r="DP126" s="1969"/>
      <c r="DQ126" s="1235"/>
      <c r="DR126" s="1235"/>
      <c r="DS126" s="1244"/>
      <c r="DT126" s="1245"/>
      <c r="DU126" s="1246"/>
      <c r="DV126" s="1176"/>
      <c r="DW126" s="1247"/>
      <c r="DX126" s="1661"/>
      <c r="DY126" s="1247"/>
      <c r="DZ126" s="1211"/>
      <c r="EA126" s="1213"/>
      <c r="EB126" s="1869"/>
      <c r="EC126" s="1213"/>
      <c r="ED126" s="1248"/>
      <c r="EE126" s="1213"/>
      <c r="EF126" s="1249"/>
      <c r="EG126" s="1211"/>
      <c r="EH126" s="1213"/>
      <c r="EI126" s="1869"/>
      <c r="EJ126" s="1213"/>
      <c r="EK126" s="1248"/>
      <c r="EL126" s="1175"/>
      <c r="EM126" s="1232"/>
      <c r="EN126" s="1250"/>
      <c r="EO126" s="1176"/>
    </row>
    <row r="127" spans="1:174" s="1251" customFormat="1" ht="11.25" customHeight="1" x14ac:dyDescent="0.2">
      <c r="A127" s="1656"/>
      <c r="B127" s="1813"/>
      <c r="C127" s="1175"/>
      <c r="D127" s="1175"/>
      <c r="E127" s="1186"/>
      <c r="F127" s="1175"/>
      <c r="G127" s="1174"/>
      <c r="H127" s="1657"/>
      <c r="I127" s="1174"/>
      <c r="J127" s="1657"/>
      <c r="K127" s="1186"/>
      <c r="L127" s="1188"/>
      <c r="M127" s="1658"/>
      <c r="N127" s="1189"/>
      <c r="O127" s="1659"/>
      <c r="P127" s="1186"/>
      <c r="Q127" s="1185"/>
      <c r="R127" s="1660"/>
      <c r="S127" s="1661"/>
      <c r="T127" s="1190"/>
      <c r="U127" s="1191"/>
      <c r="V127" s="1662"/>
      <c r="W127" s="1663"/>
      <c r="X127" s="1664"/>
      <c r="Y127" s="1193"/>
      <c r="Z127" s="1193"/>
      <c r="AA127" s="1194"/>
      <c r="AB127" s="1665"/>
      <c r="AC127" s="1196"/>
      <c r="AD127" s="1197"/>
      <c r="AE127" s="1198"/>
      <c r="AF127" s="1199"/>
      <c r="AG127" s="1199"/>
      <c r="AH127" s="1200"/>
      <c r="AI127" s="1201"/>
      <c r="AJ127" s="1202"/>
      <c r="AK127" s="1201"/>
      <c r="AL127" s="1203"/>
      <c r="AM127" s="1204"/>
      <c r="AN127" s="1205"/>
      <c r="AO127" s="1206"/>
      <c r="AP127" s="1207"/>
      <c r="AQ127" s="1208"/>
      <c r="AR127" s="1209"/>
      <c r="AS127" s="1210"/>
      <c r="AT127" s="1211"/>
      <c r="AU127" s="1212"/>
      <c r="AV127" s="1213"/>
      <c r="AW127" s="1212"/>
      <c r="AX127" s="1187"/>
      <c r="AY127" s="1845"/>
      <c r="AZ127" s="1979"/>
      <c r="BA127" s="1215"/>
      <c r="BB127" s="1216"/>
      <c r="BC127" s="1667"/>
      <c r="BD127" s="1668"/>
      <c r="BE127" s="1668"/>
      <c r="BF127" s="1217"/>
      <c r="BG127" s="1218"/>
      <c r="BH127" s="1669"/>
      <c r="BI127" s="1670"/>
      <c r="BJ127" s="1220"/>
      <c r="BK127" s="1671"/>
      <c r="BL127" s="1220"/>
      <c r="BM127" s="1672"/>
      <c r="BN127" s="1204"/>
      <c r="BO127" s="1222"/>
      <c r="BP127" s="1223"/>
      <c r="BQ127" s="1224"/>
      <c r="BR127" s="1219"/>
      <c r="BS127" s="1212"/>
      <c r="BT127" s="1673"/>
      <c r="BU127" s="1212"/>
      <c r="BV127" s="1187"/>
      <c r="BW127" s="1226"/>
      <c r="BX127" s="1227"/>
      <c r="BY127" s="1253"/>
      <c r="BZ127" s="1217"/>
      <c r="CA127" s="1228"/>
      <c r="CB127" s="1229"/>
      <c r="CC127" s="1230"/>
      <c r="CD127" s="1194"/>
      <c r="CE127" s="1175"/>
      <c r="CF127" s="1175"/>
      <c r="CG127" s="1254"/>
      <c r="CH127" s="1674"/>
      <c r="CI127" s="1175"/>
      <c r="CJ127" s="1175"/>
      <c r="CK127" s="1232"/>
      <c r="CL127" s="1233"/>
      <c r="CM127" s="1234"/>
      <c r="CN127" s="1233"/>
      <c r="CO127" s="1235"/>
      <c r="CP127" s="1232"/>
      <c r="CQ127" s="1233"/>
      <c r="CR127" s="1234"/>
      <c r="CS127" s="1233"/>
      <c r="CT127" s="1235"/>
      <c r="CU127" s="1236"/>
      <c r="CV127" s="1237"/>
      <c r="CW127" s="1238"/>
      <c r="CX127" s="1239"/>
      <c r="CY127" s="1238"/>
      <c r="CZ127" s="1239"/>
      <c r="DA127" s="1238"/>
      <c r="DB127" s="1239"/>
      <c r="DC127" s="1240"/>
      <c r="DD127" s="1241"/>
      <c r="DE127" s="1241"/>
      <c r="DF127" s="1194"/>
      <c r="DG127" s="1194"/>
      <c r="DH127" s="1194"/>
      <c r="DI127" s="1194"/>
      <c r="DJ127" s="1194"/>
      <c r="DK127" s="1194"/>
      <c r="DL127" s="1217"/>
      <c r="DM127" s="1233"/>
      <c r="DN127" s="1242"/>
      <c r="DO127" s="1736"/>
      <c r="DP127" s="1816"/>
      <c r="DQ127" s="1972"/>
      <c r="DR127" s="1235"/>
      <c r="DS127" s="1244"/>
      <c r="DT127" s="1245"/>
      <c r="DU127" s="1246"/>
      <c r="DV127" s="1176"/>
      <c r="DW127" s="1247"/>
      <c r="DX127" s="1661"/>
      <c r="DY127" s="1247"/>
      <c r="DZ127" s="1211"/>
      <c r="EA127" s="1213"/>
      <c r="EB127" s="1869"/>
      <c r="EC127" s="1213"/>
      <c r="ED127" s="1248"/>
      <c r="EE127" s="1213"/>
      <c r="EF127" s="1249"/>
      <c r="EG127" s="1211"/>
      <c r="EH127" s="1213"/>
      <c r="EI127" s="1869"/>
      <c r="EJ127" s="1213"/>
      <c r="EK127" s="1248"/>
      <c r="EL127" s="1175"/>
      <c r="EM127" s="1232"/>
      <c r="EN127" s="1250"/>
      <c r="EO127" s="1176"/>
    </row>
    <row r="128" spans="1:174" s="1251" customFormat="1" ht="11.25" customHeight="1" x14ac:dyDescent="0.2">
      <c r="A128" s="1656"/>
      <c r="B128" s="1185"/>
      <c r="C128" s="1965"/>
      <c r="D128" s="1175"/>
      <c r="E128" s="1186"/>
      <c r="F128" s="1175"/>
      <c r="G128" s="1174"/>
      <c r="H128" s="1657"/>
      <c r="I128" s="1174"/>
      <c r="J128" s="1657"/>
      <c r="K128" s="1186"/>
      <c r="L128" s="1188"/>
      <c r="M128" s="1658"/>
      <c r="N128" s="1189"/>
      <c r="O128" s="1659"/>
      <c r="P128" s="1186"/>
      <c r="Q128" s="1185"/>
      <c r="R128" s="1660"/>
      <c r="S128" s="1661"/>
      <c r="T128" s="1190"/>
      <c r="U128" s="1191"/>
      <c r="V128" s="1662"/>
      <c r="W128" s="1663"/>
      <c r="X128" s="1664"/>
      <c r="Y128" s="1193"/>
      <c r="Z128" s="1193"/>
      <c r="AA128" s="1194"/>
      <c r="AB128" s="1665"/>
      <c r="AC128" s="1196"/>
      <c r="AD128" s="1197"/>
      <c r="AE128" s="1198"/>
      <c r="AF128" s="1199"/>
      <c r="AG128" s="1199"/>
      <c r="AH128" s="1200"/>
      <c r="AI128" s="1201"/>
      <c r="AJ128" s="1202"/>
      <c r="AK128" s="1201"/>
      <c r="AL128" s="1203"/>
      <c r="AM128" s="1204"/>
      <c r="AN128" s="1205"/>
      <c r="AO128" s="1206"/>
      <c r="AP128" s="1207"/>
      <c r="AQ128" s="1208"/>
      <c r="AR128" s="1209"/>
      <c r="AS128" s="1210"/>
      <c r="AT128" s="1211"/>
      <c r="AU128" s="1212"/>
      <c r="AV128" s="1213"/>
      <c r="AW128" s="1212"/>
      <c r="AX128" s="1187"/>
      <c r="AY128" s="1176"/>
      <c r="AZ128" s="1666"/>
      <c r="BA128" s="1215"/>
      <c r="BB128" s="1216"/>
      <c r="BC128" s="1667"/>
      <c r="BD128" s="1668"/>
      <c r="BE128" s="1668"/>
      <c r="BF128" s="1217"/>
      <c r="BG128" s="1218"/>
      <c r="BH128" s="1669"/>
      <c r="BI128" s="1670"/>
      <c r="BJ128" s="1220"/>
      <c r="BK128" s="1671"/>
      <c r="BL128" s="1220"/>
      <c r="BM128" s="1672"/>
      <c r="BN128" s="1204"/>
      <c r="BO128" s="1222"/>
      <c r="BP128" s="1223"/>
      <c r="BQ128" s="1224"/>
      <c r="BR128" s="1219"/>
      <c r="BS128" s="1212"/>
      <c r="BT128" s="1673"/>
      <c r="BU128" s="1212"/>
      <c r="BV128" s="1187"/>
      <c r="BW128" s="1226"/>
      <c r="BX128" s="1227"/>
      <c r="BY128" s="1253"/>
      <c r="BZ128" s="1217"/>
      <c r="CA128" s="1228"/>
      <c r="CB128" s="1229"/>
      <c r="CC128" s="1230"/>
      <c r="CD128" s="1194"/>
      <c r="CE128" s="1175"/>
      <c r="CF128" s="1175"/>
      <c r="CG128" s="1254"/>
      <c r="CH128" s="1674"/>
      <c r="CI128" s="1175"/>
      <c r="CJ128" s="1175"/>
      <c r="CK128" s="1232"/>
      <c r="CL128" s="1233"/>
      <c r="CM128" s="1234"/>
      <c r="CN128" s="1233"/>
      <c r="CO128" s="1235"/>
      <c r="CP128" s="1232"/>
      <c r="CQ128" s="1233"/>
      <c r="CR128" s="1234"/>
      <c r="CS128" s="1233"/>
      <c r="CT128" s="1235"/>
      <c r="CU128" s="1236"/>
      <c r="CV128" s="1237"/>
      <c r="CW128" s="1238"/>
      <c r="CX128" s="1239"/>
      <c r="CY128" s="1238"/>
      <c r="CZ128" s="1239"/>
      <c r="DA128" s="1238"/>
      <c r="DB128" s="1239"/>
      <c r="DC128" s="1240"/>
      <c r="DD128" s="1241"/>
      <c r="DE128" s="1241"/>
      <c r="DF128" s="1194"/>
      <c r="DG128" s="1194"/>
      <c r="DH128" s="1194"/>
      <c r="DI128" s="1194"/>
      <c r="DJ128" s="1194"/>
      <c r="DK128" s="1194"/>
      <c r="DL128" s="1217"/>
      <c r="DM128" s="1233"/>
      <c r="DN128" s="1242"/>
      <c r="DO128" s="1736"/>
      <c r="DP128" s="1816"/>
      <c r="DQ128" s="1235"/>
      <c r="DR128" s="1235"/>
      <c r="DS128" s="1244"/>
      <c r="DT128" s="1245"/>
      <c r="DU128" s="1246"/>
      <c r="DV128" s="1176"/>
      <c r="DW128" s="1247"/>
      <c r="DX128" s="1661"/>
      <c r="DY128" s="1247"/>
      <c r="DZ128" s="1211"/>
      <c r="EA128" s="1213"/>
      <c r="EB128" s="1869"/>
      <c r="EC128" s="1213"/>
      <c r="ED128" s="1248"/>
      <c r="EE128" s="1213"/>
      <c r="EF128" s="1249"/>
      <c r="EG128" s="1211"/>
      <c r="EH128" s="1213"/>
      <c r="EI128" s="1869"/>
      <c r="EJ128" s="1213"/>
      <c r="EK128" s="1248"/>
      <c r="EL128" s="1175"/>
      <c r="EM128" s="1232"/>
      <c r="EN128" s="1250"/>
      <c r="EO128" s="1176"/>
    </row>
    <row r="129" spans="1:174" s="1731" customFormat="1" ht="11.25" customHeight="1" x14ac:dyDescent="0.2">
      <c r="A129" s="1656"/>
      <c r="B129" s="1813"/>
      <c r="C129" s="1175"/>
      <c r="D129" s="1175"/>
      <c r="E129" s="1186"/>
      <c r="F129" s="1175"/>
      <c r="G129" s="1174"/>
      <c r="H129" s="1657"/>
      <c r="I129" s="1174"/>
      <c r="J129" s="1657"/>
      <c r="K129" s="1186"/>
      <c r="L129" s="1188"/>
      <c r="M129" s="1658"/>
      <c r="N129" s="1189"/>
      <c r="O129" s="1659"/>
      <c r="P129" s="1186"/>
      <c r="Q129" s="1185"/>
      <c r="R129" s="1660"/>
      <c r="S129" s="1661"/>
      <c r="T129" s="1190"/>
      <c r="U129" s="1191"/>
      <c r="V129" s="1662"/>
      <c r="W129" s="1663"/>
      <c r="X129" s="1664"/>
      <c r="Y129" s="1193"/>
      <c r="Z129" s="1193"/>
      <c r="AA129" s="1194"/>
      <c r="AB129" s="1665"/>
      <c r="AC129" s="1196"/>
      <c r="AD129" s="1197"/>
      <c r="AE129" s="1198"/>
      <c r="AF129" s="1199"/>
      <c r="AG129" s="1199"/>
      <c r="AH129" s="1200"/>
      <c r="AI129" s="1201"/>
      <c r="AJ129" s="1202"/>
      <c r="AK129" s="1201"/>
      <c r="AL129" s="1203"/>
      <c r="AM129" s="1204"/>
      <c r="AN129" s="1205"/>
      <c r="AO129" s="1206"/>
      <c r="AP129" s="1207"/>
      <c r="AQ129" s="1208"/>
      <c r="AR129" s="1209"/>
      <c r="AS129" s="1210"/>
      <c r="AT129" s="1211"/>
      <c r="AU129" s="1212"/>
      <c r="AV129" s="1213"/>
      <c r="AW129" s="1212"/>
      <c r="AX129" s="1187"/>
      <c r="AY129" s="1176"/>
      <c r="AZ129" s="1666"/>
      <c r="BA129" s="1215"/>
      <c r="BB129" s="1216"/>
      <c r="BC129" s="1667"/>
      <c r="BD129" s="1668"/>
      <c r="BE129" s="1668"/>
      <c r="BF129" s="1217"/>
      <c r="BG129" s="1218"/>
      <c r="BH129" s="1669"/>
      <c r="BI129" s="1670"/>
      <c r="BJ129" s="1220"/>
      <c r="BK129" s="1671"/>
      <c r="BL129" s="1220"/>
      <c r="BM129" s="1672"/>
      <c r="BN129" s="1204"/>
      <c r="BO129" s="1222"/>
      <c r="BP129" s="1223"/>
      <c r="BQ129" s="1224"/>
      <c r="BR129" s="1219"/>
      <c r="BS129" s="1212"/>
      <c r="BT129" s="1673"/>
      <c r="BU129" s="1212"/>
      <c r="BV129" s="1187"/>
      <c r="BW129" s="1226"/>
      <c r="BX129" s="1227"/>
      <c r="BY129" s="1253"/>
      <c r="BZ129" s="1217"/>
      <c r="CA129" s="1228"/>
      <c r="CB129" s="1229"/>
      <c r="CC129" s="1230"/>
      <c r="CD129" s="1194"/>
      <c r="CE129" s="1175"/>
      <c r="CF129" s="1175"/>
      <c r="CG129" s="1254"/>
      <c r="CH129" s="1674"/>
      <c r="CI129" s="1175"/>
      <c r="CJ129" s="1175"/>
      <c r="CK129" s="1232"/>
      <c r="CL129" s="1233"/>
      <c r="CM129" s="1234"/>
      <c r="CN129" s="1233"/>
      <c r="CO129" s="1235"/>
      <c r="CP129" s="1232"/>
      <c r="CQ129" s="1233"/>
      <c r="CR129" s="1242"/>
      <c r="CS129" s="1233"/>
      <c r="CT129" s="1235"/>
      <c r="CU129" s="1236"/>
      <c r="CV129" s="1237"/>
      <c r="CW129" s="1238"/>
      <c r="CX129" s="1239"/>
      <c r="CY129" s="1238"/>
      <c r="CZ129" s="1239"/>
      <c r="DA129" s="1238"/>
      <c r="DB129" s="1239"/>
      <c r="DC129" s="1240"/>
      <c r="DD129" s="1241"/>
      <c r="DE129" s="1241"/>
      <c r="DF129" s="1194"/>
      <c r="DG129" s="1194"/>
      <c r="DH129" s="1194"/>
      <c r="DI129" s="1194"/>
      <c r="DJ129" s="1194"/>
      <c r="DK129" s="1194"/>
      <c r="DL129" s="1217"/>
      <c r="DM129" s="1967"/>
      <c r="DN129" s="1968"/>
      <c r="DO129" s="1175"/>
      <c r="DP129" s="1969"/>
      <c r="DQ129" s="1242"/>
      <c r="DR129" s="1242"/>
      <c r="DS129" s="1825"/>
      <c r="DT129" s="1186"/>
      <c r="DU129" s="1246"/>
      <c r="DV129" s="1176"/>
      <c r="DW129" s="1247"/>
      <c r="DX129" s="1661"/>
      <c r="DY129" s="1247"/>
      <c r="DZ129" s="1211"/>
      <c r="EA129" s="1213"/>
      <c r="EB129" s="1213"/>
      <c r="EC129" s="1213"/>
      <c r="ED129" s="1248"/>
      <c r="EE129" s="1213"/>
      <c r="EF129" s="1249"/>
      <c r="EG129" s="1211"/>
      <c r="EH129" s="1213"/>
      <c r="EI129" s="1213"/>
      <c r="EJ129" s="1213"/>
      <c r="EK129" s="1248"/>
      <c r="EL129" s="1855"/>
      <c r="EM129" s="1232"/>
      <c r="EN129" s="1250"/>
      <c r="EO129" s="1176"/>
      <c r="EP129" s="1251"/>
      <c r="EQ129" s="1251"/>
      <c r="ER129" s="1251"/>
      <c r="ES129" s="1251"/>
      <c r="ET129" s="1251"/>
      <c r="EU129" s="1251"/>
      <c r="EV129" s="1251"/>
      <c r="EW129" s="1251"/>
      <c r="EX129" s="1251"/>
      <c r="EY129" s="1251"/>
      <c r="EZ129" s="1251"/>
      <c r="FA129" s="1251"/>
      <c r="FB129" s="1251"/>
      <c r="FC129" s="1251"/>
      <c r="FD129" s="1251"/>
      <c r="FE129" s="1251"/>
      <c r="FF129" s="1251"/>
      <c r="FG129" s="1251"/>
      <c r="FH129" s="1251"/>
      <c r="FI129" s="1251"/>
      <c r="FJ129" s="1251"/>
      <c r="FK129" s="1251"/>
      <c r="FL129" s="1251"/>
      <c r="FM129" s="1251"/>
      <c r="FN129" s="1251"/>
      <c r="FO129" s="1251"/>
      <c r="FP129" s="1251"/>
      <c r="FQ129" s="1251"/>
      <c r="FR129" s="1251"/>
    </row>
    <row r="130" spans="1:174" s="1731" customFormat="1" ht="11.25" customHeight="1" x14ac:dyDescent="0.2">
      <c r="A130" s="1656"/>
      <c r="B130" s="1185"/>
      <c r="C130" s="1965"/>
      <c r="D130" s="1175"/>
      <c r="E130" s="1186"/>
      <c r="F130" s="1175"/>
      <c r="G130" s="1174"/>
      <c r="H130" s="1657"/>
      <c r="I130" s="1174"/>
      <c r="J130" s="1657"/>
      <c r="K130" s="1186"/>
      <c r="L130" s="1188"/>
      <c r="M130" s="1658"/>
      <c r="N130" s="1189"/>
      <c r="O130" s="1659"/>
      <c r="P130" s="1186"/>
      <c r="Q130" s="1185"/>
      <c r="R130" s="1660"/>
      <c r="S130" s="1661"/>
      <c r="T130" s="1190"/>
      <c r="U130" s="1191"/>
      <c r="V130" s="1662"/>
      <c r="W130" s="1663"/>
      <c r="X130" s="1664"/>
      <c r="Y130" s="1193"/>
      <c r="Z130" s="1193"/>
      <c r="AA130" s="1194"/>
      <c r="AB130" s="1665"/>
      <c r="AC130" s="1196"/>
      <c r="AD130" s="1197"/>
      <c r="AE130" s="1198"/>
      <c r="AF130" s="1199"/>
      <c r="AG130" s="1199"/>
      <c r="AH130" s="1200"/>
      <c r="AI130" s="1201"/>
      <c r="AJ130" s="1202"/>
      <c r="AK130" s="1201"/>
      <c r="AL130" s="1203"/>
      <c r="AM130" s="1204"/>
      <c r="AN130" s="1205"/>
      <c r="AO130" s="1206"/>
      <c r="AP130" s="1207"/>
      <c r="AQ130" s="1208"/>
      <c r="AR130" s="1209"/>
      <c r="AS130" s="1210"/>
      <c r="AT130" s="1211"/>
      <c r="AU130" s="1212"/>
      <c r="AV130" s="1213"/>
      <c r="AW130" s="1212"/>
      <c r="AX130" s="1187"/>
      <c r="AY130" s="1176"/>
      <c r="AZ130" s="1666"/>
      <c r="BA130" s="1215"/>
      <c r="BB130" s="1216"/>
      <c r="BC130" s="1667"/>
      <c r="BD130" s="1668"/>
      <c r="BE130" s="1668"/>
      <c r="BF130" s="1217"/>
      <c r="BG130" s="1218"/>
      <c r="BH130" s="1669"/>
      <c r="BI130" s="1670"/>
      <c r="BJ130" s="1220"/>
      <c r="BK130" s="1671"/>
      <c r="BL130" s="1220"/>
      <c r="BM130" s="1672"/>
      <c r="BN130" s="1204"/>
      <c r="BO130" s="1222"/>
      <c r="BP130" s="1223"/>
      <c r="BQ130" s="1224"/>
      <c r="BR130" s="1219"/>
      <c r="BS130" s="1212"/>
      <c r="BT130" s="1673"/>
      <c r="BU130" s="1212"/>
      <c r="BV130" s="1187"/>
      <c r="BW130" s="1226"/>
      <c r="BX130" s="1227"/>
      <c r="BY130" s="1253"/>
      <c r="BZ130" s="1217"/>
      <c r="CA130" s="1228"/>
      <c r="CB130" s="1229"/>
      <c r="CC130" s="1230"/>
      <c r="CD130" s="1194"/>
      <c r="CE130" s="1175"/>
      <c r="CF130" s="1175"/>
      <c r="CG130" s="1254"/>
      <c r="CH130" s="1217"/>
      <c r="CI130" s="1175"/>
      <c r="CJ130" s="1175"/>
      <c r="CK130" s="1232"/>
      <c r="CL130" s="1233"/>
      <c r="CM130" s="1234"/>
      <c r="CN130" s="1233"/>
      <c r="CO130" s="1235"/>
      <c r="CP130" s="1232"/>
      <c r="CQ130" s="1233"/>
      <c r="CR130" s="1242"/>
      <c r="CS130" s="1233"/>
      <c r="CT130" s="1235"/>
      <c r="CU130" s="1236"/>
      <c r="CV130" s="1237"/>
      <c r="CW130" s="1238"/>
      <c r="CX130" s="1239"/>
      <c r="CY130" s="1238"/>
      <c r="CZ130" s="1239"/>
      <c r="DA130" s="1238"/>
      <c r="DB130" s="1239"/>
      <c r="DC130" s="1240"/>
      <c r="DD130" s="1241"/>
      <c r="DE130" s="1241"/>
      <c r="DF130" s="1194"/>
      <c r="DG130" s="1194"/>
      <c r="DH130" s="1194"/>
      <c r="DI130" s="1194"/>
      <c r="DJ130" s="1194"/>
      <c r="DK130" s="1194"/>
      <c r="DL130" s="1217"/>
      <c r="DM130" s="1233"/>
      <c r="DN130" s="1242"/>
      <c r="DO130" s="1736"/>
      <c r="DP130" s="1816"/>
      <c r="DQ130" s="1235"/>
      <c r="DR130" s="1235"/>
      <c r="DS130" s="1244"/>
      <c r="DT130" s="1245"/>
      <c r="DU130" s="1246"/>
      <c r="DV130" s="1176"/>
      <c r="DW130" s="1247"/>
      <c r="DX130" s="1661"/>
      <c r="DY130" s="1247"/>
      <c r="DZ130" s="1826"/>
      <c r="EA130" s="1213"/>
      <c r="EB130" s="1839"/>
      <c r="EC130" s="1213"/>
      <c r="ED130" s="1248"/>
      <c r="EE130" s="1213"/>
      <c r="EF130" s="1249"/>
      <c r="EG130" s="1826"/>
      <c r="EH130" s="1213"/>
      <c r="EI130" s="1839"/>
      <c r="EJ130" s="1213"/>
      <c r="EK130" s="1248"/>
      <c r="EL130" s="1175"/>
      <c r="EM130" s="1232"/>
      <c r="EN130" s="1250"/>
      <c r="EO130" s="1176"/>
      <c r="EP130" s="1964"/>
      <c r="EQ130" s="1964"/>
      <c r="ER130" s="1964"/>
      <c r="ES130" s="1964"/>
      <c r="ET130" s="1964"/>
      <c r="EU130" s="1964"/>
      <c r="EV130" s="1964"/>
      <c r="EW130" s="1964"/>
      <c r="EX130" s="1964"/>
      <c r="EY130" s="1964"/>
      <c r="EZ130" s="1964"/>
      <c r="FA130" s="1964"/>
      <c r="FB130" s="1964"/>
      <c r="FC130" s="1964"/>
      <c r="FD130" s="1964"/>
      <c r="FE130" s="1964"/>
      <c r="FF130" s="1964"/>
      <c r="FG130" s="1964"/>
      <c r="FH130" s="1964"/>
      <c r="FI130" s="1964"/>
      <c r="FJ130" s="1964"/>
      <c r="FK130" s="1964"/>
      <c r="FL130" s="1964"/>
      <c r="FM130" s="1251"/>
      <c r="FN130" s="1251"/>
      <c r="FO130" s="1251"/>
      <c r="FP130" s="1251"/>
      <c r="FQ130" s="1251"/>
      <c r="FR130" s="1251"/>
    </row>
    <row r="131" spans="1:174" s="1675" customFormat="1" ht="11.25" customHeight="1" x14ac:dyDescent="0.2">
      <c r="A131" s="1656"/>
      <c r="B131" s="1813"/>
      <c r="C131" s="1965"/>
      <c r="D131" s="1175"/>
      <c r="E131" s="1186"/>
      <c r="F131" s="1175"/>
      <c r="G131" s="1174"/>
      <c r="H131" s="1657"/>
      <c r="I131" s="1174"/>
      <c r="J131" s="1657"/>
      <c r="K131" s="1186"/>
      <c r="L131" s="1188"/>
      <c r="M131" s="1658"/>
      <c r="N131" s="1189"/>
      <c r="O131" s="1659"/>
      <c r="P131" s="1186"/>
      <c r="Q131" s="1185"/>
      <c r="R131" s="1660"/>
      <c r="S131" s="1661"/>
      <c r="T131" s="1190"/>
      <c r="U131" s="1191"/>
      <c r="V131" s="1662"/>
      <c r="W131" s="1663"/>
      <c r="X131" s="1664"/>
      <c r="Y131" s="1193"/>
      <c r="Z131" s="1193"/>
      <c r="AA131" s="1194"/>
      <c r="AB131" s="1665"/>
      <c r="AC131" s="1196"/>
      <c r="AD131" s="1197"/>
      <c r="AE131" s="1198"/>
      <c r="AF131" s="1199"/>
      <c r="AG131" s="1199"/>
      <c r="AH131" s="1200"/>
      <c r="AI131" s="1201"/>
      <c r="AJ131" s="1202"/>
      <c r="AK131" s="1201"/>
      <c r="AL131" s="1203"/>
      <c r="AM131" s="1204"/>
      <c r="AN131" s="1205"/>
      <c r="AO131" s="1206"/>
      <c r="AP131" s="1207"/>
      <c r="AQ131" s="1208"/>
      <c r="AR131" s="1209"/>
      <c r="AS131" s="1210"/>
      <c r="AT131" s="1211"/>
      <c r="AU131" s="1212"/>
      <c r="AV131" s="1213"/>
      <c r="AW131" s="1212"/>
      <c r="AX131" s="1187"/>
      <c r="AY131" s="1176"/>
      <c r="AZ131" s="1214"/>
      <c r="BA131" s="1215"/>
      <c r="BB131" s="1216"/>
      <c r="BC131" s="1667"/>
      <c r="BD131" s="1668"/>
      <c r="BE131" s="1668"/>
      <c r="BF131" s="1217"/>
      <c r="BG131" s="1218"/>
      <c r="BH131" s="1669"/>
      <c r="BI131" s="1670"/>
      <c r="BJ131" s="1220"/>
      <c r="BK131" s="1671"/>
      <c r="BL131" s="1220"/>
      <c r="BM131" s="1672"/>
      <c r="BN131" s="1204"/>
      <c r="BO131" s="1222"/>
      <c r="BP131" s="1223"/>
      <c r="BQ131" s="1224"/>
      <c r="BR131" s="1219"/>
      <c r="BS131" s="1212"/>
      <c r="BT131" s="1673"/>
      <c r="BU131" s="1212"/>
      <c r="BV131" s="1187"/>
      <c r="BW131" s="1226"/>
      <c r="BX131" s="1227"/>
      <c r="BY131" s="1253"/>
      <c r="BZ131" s="1217"/>
      <c r="CA131" s="1228"/>
      <c r="CB131" s="1229"/>
      <c r="CC131" s="1230"/>
      <c r="CD131" s="1194"/>
      <c r="CE131" s="1175"/>
      <c r="CF131" s="1175"/>
      <c r="CG131" s="1254"/>
      <c r="CH131" s="1175"/>
      <c r="CI131" s="1674"/>
      <c r="CJ131" s="1175"/>
      <c r="CK131" s="1232"/>
      <c r="CL131" s="1233"/>
      <c r="CM131" s="1234"/>
      <c r="CN131" s="1233"/>
      <c r="CO131" s="1235"/>
      <c r="CP131" s="1232"/>
      <c r="CQ131" s="1233"/>
      <c r="CR131" s="1234"/>
      <c r="CS131" s="1233"/>
      <c r="CT131" s="1235"/>
      <c r="CU131" s="1236"/>
      <c r="CV131" s="1237"/>
      <c r="CW131" s="1238"/>
      <c r="CX131" s="1239"/>
      <c r="CY131" s="1238"/>
      <c r="CZ131" s="1239"/>
      <c r="DA131" s="1238"/>
      <c r="DB131" s="1239"/>
      <c r="DC131" s="1240"/>
      <c r="DD131" s="1241"/>
      <c r="DE131" s="1241"/>
      <c r="DF131" s="1194"/>
      <c r="DG131" s="1194"/>
      <c r="DH131" s="1194"/>
      <c r="DI131" s="1194"/>
      <c r="DJ131" s="1194"/>
      <c r="DK131" s="1980"/>
      <c r="DL131" s="1217"/>
      <c r="DM131" s="1233"/>
      <c r="DN131" s="1242"/>
      <c r="DO131" s="1736"/>
      <c r="DP131" s="1972"/>
      <c r="DQ131" s="1235"/>
      <c r="DR131" s="1235"/>
      <c r="DS131" s="1244"/>
      <c r="DT131" s="1245"/>
      <c r="DU131" s="1246"/>
      <c r="DV131" s="1176"/>
      <c r="DW131" s="1247"/>
      <c r="DX131" s="1661"/>
      <c r="DY131" s="1247"/>
      <c r="DZ131" s="1826"/>
      <c r="EA131" s="1213"/>
      <c r="EB131" s="1213"/>
      <c r="EC131" s="1213"/>
      <c r="ED131" s="1248"/>
      <c r="EE131" s="1213"/>
      <c r="EF131" s="1249"/>
      <c r="EG131" s="1826"/>
      <c r="EH131" s="1213"/>
      <c r="EI131" s="1213"/>
      <c r="EJ131" s="1213"/>
      <c r="EK131" s="1248"/>
      <c r="EL131" s="1175"/>
      <c r="EM131" s="1232"/>
      <c r="EN131" s="1250"/>
      <c r="EO131" s="1176"/>
      <c r="EP131" s="1251"/>
      <c r="EQ131" s="1251"/>
      <c r="ER131" s="1251"/>
      <c r="ES131" s="1251"/>
      <c r="ET131" s="1251"/>
      <c r="EU131" s="1251"/>
      <c r="EV131" s="1251"/>
      <c r="EW131" s="1251"/>
      <c r="EX131" s="1251"/>
      <c r="EY131" s="1251"/>
      <c r="EZ131" s="1251"/>
      <c r="FA131" s="1251"/>
      <c r="FB131" s="1251"/>
      <c r="FC131" s="1251"/>
      <c r="FD131" s="1251"/>
      <c r="FE131" s="1251"/>
      <c r="FF131" s="1251"/>
      <c r="FG131" s="1251"/>
      <c r="FH131" s="1251"/>
      <c r="FI131" s="1251"/>
      <c r="FJ131" s="1251"/>
      <c r="FK131" s="1251"/>
      <c r="FL131" s="1251"/>
      <c r="FM131" s="1251"/>
    </row>
    <row r="132" spans="1:174" s="1251" customFormat="1" ht="11.25" customHeight="1" x14ac:dyDescent="0.2">
      <c r="A132" s="1656"/>
      <c r="B132" s="1185"/>
      <c r="C132" s="1175"/>
      <c r="D132" s="1175"/>
      <c r="E132" s="1186"/>
      <c r="F132" s="1175"/>
      <c r="G132" s="1174"/>
      <c r="H132" s="1657"/>
      <c r="I132" s="1174"/>
      <c r="J132" s="1657"/>
      <c r="K132" s="1186"/>
      <c r="L132" s="1188"/>
      <c r="M132" s="1658"/>
      <c r="N132" s="1189"/>
      <c r="O132" s="1659"/>
      <c r="P132" s="1186"/>
      <c r="Q132" s="1185"/>
      <c r="R132" s="1660"/>
      <c r="S132" s="1661"/>
      <c r="T132" s="1190"/>
      <c r="U132" s="1191"/>
      <c r="V132" s="1662"/>
      <c r="W132" s="1663"/>
      <c r="X132" s="1664"/>
      <c r="Y132" s="1193"/>
      <c r="Z132" s="1193"/>
      <c r="AA132" s="1194"/>
      <c r="AB132" s="1814"/>
      <c r="AC132" s="1196"/>
      <c r="AD132" s="1197"/>
      <c r="AE132" s="1198"/>
      <c r="AF132" s="1199"/>
      <c r="AG132" s="1199"/>
      <c r="AH132" s="1200"/>
      <c r="AI132" s="1201"/>
      <c r="AJ132" s="1202"/>
      <c r="AK132" s="1201"/>
      <c r="AL132" s="1203"/>
      <c r="AM132" s="1204"/>
      <c r="AN132" s="1205"/>
      <c r="AO132" s="1206"/>
      <c r="AP132" s="1207"/>
      <c r="AQ132" s="1208"/>
      <c r="AR132" s="1209"/>
      <c r="AS132" s="1210"/>
      <c r="AT132" s="1211"/>
      <c r="AU132" s="1212"/>
      <c r="AV132" s="1213"/>
      <c r="AW132" s="1212"/>
      <c r="AX132" s="1187"/>
      <c r="AY132" s="1176"/>
      <c r="AZ132" s="1666"/>
      <c r="BA132" s="1215"/>
      <c r="BB132" s="1216"/>
      <c r="BC132" s="1667"/>
      <c r="BD132" s="1668"/>
      <c r="BE132" s="1668"/>
      <c r="BF132" s="1217"/>
      <c r="BG132" s="1218"/>
      <c r="BH132" s="1669"/>
      <c r="BI132" s="1670"/>
      <c r="BJ132" s="1220"/>
      <c r="BK132" s="1671"/>
      <c r="BL132" s="1220"/>
      <c r="BM132" s="1672"/>
      <c r="BN132" s="1204"/>
      <c r="BO132" s="1222"/>
      <c r="BP132" s="1223"/>
      <c r="BQ132" s="1224"/>
      <c r="BR132" s="1219"/>
      <c r="BS132" s="1212"/>
      <c r="BT132" s="1673"/>
      <c r="BU132" s="1212"/>
      <c r="BV132" s="1187"/>
      <c r="BW132" s="1226"/>
      <c r="BX132" s="1227"/>
      <c r="BY132" s="1253"/>
      <c r="BZ132" s="1217"/>
      <c r="CA132" s="1228"/>
      <c r="CB132" s="1229"/>
      <c r="CC132" s="1230"/>
      <c r="CD132" s="1194"/>
      <c r="CE132" s="1175"/>
      <c r="CF132" s="1175"/>
      <c r="CG132" s="1254"/>
      <c r="CH132" s="1175"/>
      <c r="CI132" s="1674"/>
      <c r="CJ132" s="1175"/>
      <c r="CK132" s="1232"/>
      <c r="CL132" s="1233"/>
      <c r="CM132" s="1234"/>
      <c r="CN132" s="1233"/>
      <c r="CO132" s="1235"/>
      <c r="CP132" s="1232"/>
      <c r="CQ132" s="1233"/>
      <c r="CR132" s="1234"/>
      <c r="CS132" s="1233"/>
      <c r="CT132" s="1235"/>
      <c r="CU132" s="1236"/>
      <c r="CV132" s="1237"/>
      <c r="CW132" s="1238"/>
      <c r="CX132" s="1239"/>
      <c r="CY132" s="1238"/>
      <c r="CZ132" s="1239"/>
      <c r="DA132" s="1238"/>
      <c r="DB132" s="1239"/>
      <c r="DC132" s="1240"/>
      <c r="DD132" s="1241"/>
      <c r="DE132" s="1241"/>
      <c r="DF132" s="1194"/>
      <c r="DG132" s="1194"/>
      <c r="DH132" s="1194"/>
      <c r="DI132" s="1194"/>
      <c r="DJ132" s="1194"/>
      <c r="DK132" s="1194"/>
      <c r="DL132" s="1217"/>
      <c r="DM132" s="1967"/>
      <c r="DN132" s="1968"/>
      <c r="DO132" s="1736"/>
      <c r="DP132" s="1969"/>
      <c r="DQ132" s="1235"/>
      <c r="DR132" s="1235"/>
      <c r="DS132" s="1244"/>
      <c r="DT132" s="1664"/>
      <c r="DU132" s="1246"/>
      <c r="DV132" s="1176"/>
      <c r="DW132" s="1247"/>
      <c r="DX132" s="1661"/>
      <c r="DY132" s="1247"/>
      <c r="DZ132" s="1860"/>
      <c r="EA132" s="1213"/>
      <c r="EB132" s="1972"/>
      <c r="EC132" s="1213"/>
      <c r="ED132" s="1248"/>
      <c r="EE132" s="1213"/>
      <c r="EF132" s="1249"/>
      <c r="EG132" s="1860"/>
      <c r="EH132" s="1213"/>
      <c r="EI132" s="1972"/>
      <c r="EJ132" s="1213"/>
      <c r="EK132" s="1248"/>
      <c r="EL132" s="1175"/>
      <c r="EM132" s="1232"/>
      <c r="EN132" s="1250"/>
      <c r="EO132" s="1176"/>
      <c r="FM132" s="1975"/>
    </row>
    <row r="133" spans="1:174" s="1731" customFormat="1" ht="11.25" customHeight="1" x14ac:dyDescent="0.2">
      <c r="A133" s="1656"/>
      <c r="B133" s="1656"/>
      <c r="C133" s="1175"/>
      <c r="D133" s="1175"/>
      <c r="E133" s="1186"/>
      <c r="F133" s="1175"/>
      <c r="G133" s="1174"/>
      <c r="H133" s="1657"/>
      <c r="I133" s="1174"/>
      <c r="J133" s="1657"/>
      <c r="K133" s="1186"/>
      <c r="L133" s="1188"/>
      <c r="M133" s="1658"/>
      <c r="N133" s="1189"/>
      <c r="O133" s="1677"/>
      <c r="P133" s="1186"/>
      <c r="Q133" s="1676"/>
      <c r="R133" s="1660"/>
      <c r="S133" s="1661"/>
      <c r="T133" s="1190"/>
      <c r="U133" s="1191"/>
      <c r="V133" s="1662"/>
      <c r="W133" s="1981"/>
      <c r="X133" s="1664"/>
      <c r="Y133" s="1982"/>
      <c r="Z133" s="1982"/>
      <c r="AA133" s="1194"/>
      <c r="AB133" s="1195"/>
      <c r="AC133" s="1196"/>
      <c r="AD133" s="1197"/>
      <c r="AE133" s="1198"/>
      <c r="AF133" s="1199"/>
      <c r="AG133" s="1199"/>
      <c r="AH133" s="1200"/>
      <c r="AI133" s="1201"/>
      <c r="AJ133" s="1976"/>
      <c r="AK133" s="1201"/>
      <c r="AL133" s="1203"/>
      <c r="AM133" s="1204"/>
      <c r="AN133" s="1205"/>
      <c r="AO133" s="1983"/>
      <c r="AP133" s="1207"/>
      <c r="AQ133" s="1208"/>
      <c r="AR133" s="1209"/>
      <c r="AS133" s="1210"/>
      <c r="AT133" s="1211"/>
      <c r="AU133" s="1212"/>
      <c r="AV133" s="1213"/>
      <c r="AW133" s="1212"/>
      <c r="AX133" s="1187"/>
      <c r="AY133" s="1176"/>
      <c r="AZ133" s="1984"/>
      <c r="BA133" s="1985"/>
      <c r="BB133" s="1216"/>
      <c r="BC133" s="1986"/>
      <c r="BD133" s="1668"/>
      <c r="BE133" s="1668"/>
      <c r="BF133" s="1217"/>
      <c r="BG133" s="1218"/>
      <c r="BH133" s="1669"/>
      <c r="BI133" s="1670"/>
      <c r="BJ133" s="1220"/>
      <c r="BK133" s="1671"/>
      <c r="BL133" s="1220"/>
      <c r="BM133" s="1672"/>
      <c r="BN133" s="1204"/>
      <c r="BO133" s="1987"/>
      <c r="BP133" s="1223"/>
      <c r="BQ133" s="1224"/>
      <c r="BR133" s="1219"/>
      <c r="BS133" s="1212"/>
      <c r="BT133" s="1673"/>
      <c r="BU133" s="1212"/>
      <c r="BV133" s="1187"/>
      <c r="BW133" s="1988"/>
      <c r="BX133" s="1989"/>
      <c r="BY133" s="1990"/>
      <c r="BZ133" s="1217"/>
      <c r="CA133" s="1228"/>
      <c r="CB133" s="1229"/>
      <c r="CC133" s="1230"/>
      <c r="CD133" s="1194"/>
      <c r="CE133" s="1175"/>
      <c r="CF133" s="1175"/>
      <c r="CG133" s="1254"/>
      <c r="CH133" s="1175"/>
      <c r="CI133" s="1991"/>
      <c r="CJ133" s="1175"/>
      <c r="CK133" s="1232"/>
      <c r="CL133" s="1233"/>
      <c r="CM133" s="1234"/>
      <c r="CN133" s="1233"/>
      <c r="CO133" s="1235"/>
      <c r="CP133" s="1232"/>
      <c r="CQ133" s="1233"/>
      <c r="CR133" s="1234"/>
      <c r="CS133" s="1233"/>
      <c r="CT133" s="1235"/>
      <c r="CU133" s="1236"/>
      <c r="CV133" s="1992"/>
      <c r="CW133" s="1238"/>
      <c r="CX133" s="1239"/>
      <c r="CY133" s="1238"/>
      <c r="CZ133" s="1239"/>
      <c r="DA133" s="1238"/>
      <c r="DB133" s="1239"/>
      <c r="DC133" s="1240"/>
      <c r="DD133" s="1241"/>
      <c r="DE133" s="1241"/>
      <c r="DF133" s="1194"/>
      <c r="DG133" s="1194"/>
      <c r="DH133" s="1194"/>
      <c r="DI133" s="1194"/>
      <c r="DJ133" s="1194"/>
      <c r="DK133" s="1194"/>
      <c r="DL133" s="1217"/>
      <c r="DM133" s="1233"/>
      <c r="DN133" s="1242"/>
      <c r="DO133" s="1736"/>
      <c r="DP133" s="1816"/>
      <c r="DQ133" s="1235"/>
      <c r="DR133" s="1235"/>
      <c r="DS133" s="1244"/>
      <c r="DT133" s="1245"/>
      <c r="DU133" s="1246"/>
      <c r="DV133" s="1176"/>
      <c r="DW133" s="1247"/>
      <c r="DX133" s="1661"/>
      <c r="DY133" s="1247"/>
      <c r="DZ133" s="1211"/>
      <c r="EA133" s="1213"/>
      <c r="EB133" s="1869"/>
      <c r="EC133" s="1213"/>
      <c r="ED133" s="1248"/>
      <c r="EE133" s="1213"/>
      <c r="EF133" s="1249"/>
      <c r="EG133" s="1211"/>
      <c r="EH133" s="1213"/>
      <c r="EI133" s="1869"/>
      <c r="EJ133" s="1213"/>
      <c r="EK133" s="1248"/>
      <c r="EL133" s="1175"/>
      <c r="EM133" s="1232"/>
      <c r="EN133" s="1250"/>
      <c r="EO133" s="1176"/>
      <c r="EP133" s="1251"/>
      <c r="EQ133" s="1251"/>
      <c r="ER133" s="1251"/>
      <c r="ES133" s="1251"/>
      <c r="ET133" s="1251"/>
      <c r="EU133" s="1251"/>
      <c r="EV133" s="1251"/>
      <c r="EW133" s="1251"/>
      <c r="EX133" s="1251"/>
      <c r="EY133" s="1251"/>
      <c r="EZ133" s="1251"/>
      <c r="FA133" s="1251"/>
      <c r="FB133" s="1251"/>
      <c r="FC133" s="1251"/>
      <c r="FD133" s="1251"/>
      <c r="FE133" s="1251"/>
      <c r="FF133" s="1251"/>
      <c r="FG133" s="1251"/>
      <c r="FH133" s="1251"/>
      <c r="FI133" s="1251"/>
      <c r="FJ133" s="1251"/>
      <c r="FK133" s="1251"/>
      <c r="FL133" s="1251"/>
      <c r="FM133" s="1251"/>
      <c r="FN133" s="1251"/>
      <c r="FO133" s="1251"/>
      <c r="FP133" s="1251"/>
      <c r="FQ133" s="1251"/>
      <c r="FR133" s="1251"/>
    </row>
    <row r="134" spans="1:174" s="1731" customFormat="1" ht="11.25" customHeight="1" x14ac:dyDescent="0.2">
      <c r="A134" s="1656"/>
      <c r="B134" s="1185"/>
      <c r="C134" s="1175"/>
      <c r="D134" s="1175"/>
      <c r="E134" s="1186"/>
      <c r="F134" s="1175"/>
      <c r="G134" s="1174"/>
      <c r="H134" s="1657"/>
      <c r="I134" s="1174"/>
      <c r="J134" s="1657"/>
      <c r="K134" s="1186"/>
      <c r="L134" s="1188"/>
      <c r="M134" s="1658"/>
      <c r="N134" s="1189"/>
      <c r="O134" s="1659"/>
      <c r="P134" s="1186"/>
      <c r="Q134" s="1185"/>
      <c r="R134" s="1660"/>
      <c r="S134" s="1661"/>
      <c r="T134" s="1190"/>
      <c r="U134" s="1191"/>
      <c r="V134" s="1662"/>
      <c r="W134" s="1663"/>
      <c r="X134" s="1664"/>
      <c r="Y134" s="1193"/>
      <c r="Z134" s="1193"/>
      <c r="AA134" s="1194"/>
      <c r="AB134" s="1665"/>
      <c r="AC134" s="1196"/>
      <c r="AD134" s="1197"/>
      <c r="AE134" s="1198"/>
      <c r="AF134" s="1199"/>
      <c r="AG134" s="1199"/>
      <c r="AH134" s="1200"/>
      <c r="AI134" s="1201"/>
      <c r="AJ134" s="1202"/>
      <c r="AK134" s="1201"/>
      <c r="AL134" s="1203"/>
      <c r="AM134" s="1204"/>
      <c r="AN134" s="1205"/>
      <c r="AO134" s="1206"/>
      <c r="AP134" s="1207"/>
      <c r="AQ134" s="1208"/>
      <c r="AR134" s="1209"/>
      <c r="AS134" s="1210"/>
      <c r="AT134" s="1211"/>
      <c r="AU134" s="1212"/>
      <c r="AV134" s="1213"/>
      <c r="AW134" s="1212"/>
      <c r="AX134" s="1187"/>
      <c r="AY134" s="1176"/>
      <c r="AZ134" s="1993"/>
      <c r="BA134" s="1215"/>
      <c r="BB134" s="1216"/>
      <c r="BC134" s="1667"/>
      <c r="BD134" s="1668"/>
      <c r="BE134" s="1668"/>
      <c r="BF134" s="1217"/>
      <c r="BG134" s="1218"/>
      <c r="BH134" s="1669"/>
      <c r="BI134" s="1670"/>
      <c r="BJ134" s="1220"/>
      <c r="BK134" s="1671"/>
      <c r="BL134" s="1220"/>
      <c r="BM134" s="1672"/>
      <c r="BN134" s="1204"/>
      <c r="BO134" s="1222"/>
      <c r="BP134" s="1223"/>
      <c r="BQ134" s="1224"/>
      <c r="BR134" s="1219"/>
      <c r="BS134" s="1212"/>
      <c r="BT134" s="1673"/>
      <c r="BU134" s="1212"/>
      <c r="BV134" s="1187"/>
      <c r="BW134" s="1226"/>
      <c r="BX134" s="1227"/>
      <c r="BY134" s="1253"/>
      <c r="BZ134" s="1217"/>
      <c r="CA134" s="1228"/>
      <c r="CB134" s="1229"/>
      <c r="CC134" s="1230"/>
      <c r="CD134" s="1194"/>
      <c r="CE134" s="1175"/>
      <c r="CF134" s="1175"/>
      <c r="CG134" s="1254"/>
      <c r="CH134" s="1175"/>
      <c r="CI134" s="1674"/>
      <c r="CJ134" s="1175"/>
      <c r="CK134" s="1232"/>
      <c r="CL134" s="1233"/>
      <c r="CM134" s="1234"/>
      <c r="CN134" s="1233"/>
      <c r="CO134" s="1235"/>
      <c r="CP134" s="1232"/>
      <c r="CQ134" s="1233"/>
      <c r="CR134" s="1242"/>
      <c r="CS134" s="1233"/>
      <c r="CT134" s="1235"/>
      <c r="CU134" s="1236"/>
      <c r="CV134" s="1237"/>
      <c r="CW134" s="1238"/>
      <c r="CX134" s="1239"/>
      <c r="CY134" s="1238"/>
      <c r="CZ134" s="1239"/>
      <c r="DA134" s="1238"/>
      <c r="DB134" s="1239"/>
      <c r="DC134" s="1240"/>
      <c r="DD134" s="1241"/>
      <c r="DE134" s="1241"/>
      <c r="DF134" s="1194"/>
      <c r="DG134" s="1194"/>
      <c r="DH134" s="1194"/>
      <c r="DI134" s="1194"/>
      <c r="DJ134" s="1194"/>
      <c r="DK134" s="1194"/>
      <c r="DL134" s="1217"/>
      <c r="DM134" s="1233"/>
      <c r="DN134" s="1242"/>
      <c r="DO134" s="1736"/>
      <c r="DP134" s="1816"/>
      <c r="DQ134" s="1235"/>
      <c r="DR134" s="1235"/>
      <c r="DS134" s="1244"/>
      <c r="DT134" s="1245"/>
      <c r="DU134" s="1246"/>
      <c r="DV134" s="1176"/>
      <c r="DW134" s="1247"/>
      <c r="DX134" s="1661"/>
      <c r="DY134" s="1247"/>
      <c r="DZ134" s="1211"/>
      <c r="EA134" s="1213"/>
      <c r="EB134" s="1213"/>
      <c r="EC134" s="1213"/>
      <c r="ED134" s="1248"/>
      <c r="EE134" s="1213"/>
      <c r="EF134" s="1249"/>
      <c r="EG134" s="1211"/>
      <c r="EH134" s="1213"/>
      <c r="EI134" s="1213"/>
      <c r="EJ134" s="1213"/>
      <c r="EK134" s="1248"/>
      <c r="EL134" s="1175"/>
      <c r="EM134" s="1232"/>
      <c r="EN134" s="1250"/>
      <c r="EO134" s="1176"/>
      <c r="EP134" s="1251"/>
      <c r="EQ134" s="1251"/>
      <c r="ER134" s="1251"/>
      <c r="ES134" s="1251"/>
      <c r="ET134" s="1251"/>
      <c r="EU134" s="1251"/>
      <c r="EV134" s="1251"/>
      <c r="EW134" s="1251"/>
      <c r="EX134" s="1251"/>
      <c r="EY134" s="1251"/>
      <c r="EZ134" s="1251"/>
      <c r="FA134" s="1251"/>
      <c r="FB134" s="1251"/>
      <c r="FC134" s="1251"/>
      <c r="FD134" s="1251"/>
      <c r="FE134" s="1251"/>
      <c r="FF134" s="1251"/>
      <c r="FG134" s="1251"/>
      <c r="FH134" s="1251"/>
      <c r="FI134" s="1251"/>
      <c r="FJ134" s="1251"/>
      <c r="FK134" s="1251"/>
      <c r="FL134" s="1251"/>
      <c r="FM134" s="1251"/>
      <c r="FN134" s="1251"/>
      <c r="FO134" s="1251"/>
      <c r="FP134" s="1251"/>
      <c r="FQ134" s="1251"/>
      <c r="FR134" s="1251"/>
    </row>
    <row r="135" spans="1:174" s="1840" customFormat="1" ht="11.25" customHeight="1" x14ac:dyDescent="0.2">
      <c r="A135" s="1656"/>
      <c r="B135" s="1813"/>
      <c r="C135" s="1965"/>
      <c r="D135" s="1175"/>
      <c r="E135" s="1186"/>
      <c r="F135" s="1175"/>
      <c r="G135" s="1174"/>
      <c r="H135" s="1657"/>
      <c r="I135" s="1174"/>
      <c r="J135" s="1657"/>
      <c r="K135" s="1186"/>
      <c r="L135" s="1188"/>
      <c r="M135" s="1658"/>
      <c r="N135" s="1189"/>
      <c r="O135" s="1659"/>
      <c r="P135" s="1186"/>
      <c r="Q135" s="1185"/>
      <c r="R135" s="1660"/>
      <c r="S135" s="1661"/>
      <c r="T135" s="1190"/>
      <c r="U135" s="1191"/>
      <c r="V135" s="1662"/>
      <c r="W135" s="1663"/>
      <c r="X135" s="1664"/>
      <c r="Y135" s="1193"/>
      <c r="Z135" s="1193"/>
      <c r="AA135" s="1194"/>
      <c r="AB135" s="1873"/>
      <c r="AC135" s="1196"/>
      <c r="AD135" s="1197"/>
      <c r="AE135" s="1198"/>
      <c r="AF135" s="1199"/>
      <c r="AG135" s="1199"/>
      <c r="AH135" s="1211"/>
      <c r="AI135" s="1212"/>
      <c r="AJ135" s="1213"/>
      <c r="AK135" s="1212"/>
      <c r="AL135" s="1187"/>
      <c r="AM135" s="1204"/>
      <c r="AN135" s="1205"/>
      <c r="AO135" s="1206"/>
      <c r="AP135" s="1207"/>
      <c r="AQ135" s="1208"/>
      <c r="AR135" s="1209"/>
      <c r="AS135" s="1210"/>
      <c r="AT135" s="1211"/>
      <c r="AU135" s="1212"/>
      <c r="AV135" s="1213"/>
      <c r="AW135" s="1212"/>
      <c r="AX135" s="1919"/>
      <c r="AY135" s="1176"/>
      <c r="AZ135" s="1666"/>
      <c r="BA135" s="1215"/>
      <c r="BB135" s="1216"/>
      <c r="BC135" s="1667"/>
      <c r="BD135" s="1668"/>
      <c r="BE135" s="1668"/>
      <c r="BF135" s="1217"/>
      <c r="BG135" s="1218"/>
      <c r="BH135" s="1669"/>
      <c r="BI135" s="1670"/>
      <c r="BJ135" s="1220"/>
      <c r="BK135" s="1671"/>
      <c r="BL135" s="1220"/>
      <c r="BM135" s="1672"/>
      <c r="BN135" s="1204"/>
      <c r="BO135" s="1222"/>
      <c r="BP135" s="1223"/>
      <c r="BQ135" s="1224"/>
      <c r="BR135" s="1219"/>
      <c r="BS135" s="1212"/>
      <c r="BT135" s="1673"/>
      <c r="BU135" s="1212"/>
      <c r="BV135" s="1187"/>
      <c r="BW135" s="1226"/>
      <c r="BX135" s="1227"/>
      <c r="BY135" s="1253"/>
      <c r="BZ135" s="1217"/>
      <c r="CA135" s="1228"/>
      <c r="CB135" s="1229"/>
      <c r="CC135" s="1230"/>
      <c r="CD135" s="1194"/>
      <c r="CE135" s="1175"/>
      <c r="CF135" s="1175"/>
      <c r="CG135" s="1254"/>
      <c r="CH135" s="1175"/>
      <c r="CI135" s="1674"/>
      <c r="CJ135" s="1175"/>
      <c r="CK135" s="1232"/>
      <c r="CL135" s="1233"/>
      <c r="CM135" s="1234"/>
      <c r="CN135" s="1233"/>
      <c r="CO135" s="1235"/>
      <c r="CP135" s="1232"/>
      <c r="CQ135" s="1233"/>
      <c r="CR135" s="1234"/>
      <c r="CS135" s="1233"/>
      <c r="CT135" s="1235"/>
      <c r="CU135" s="1236"/>
      <c r="CV135" s="1237"/>
      <c r="CW135" s="1238"/>
      <c r="CX135" s="1239"/>
      <c r="CY135" s="1238"/>
      <c r="CZ135" s="1239"/>
      <c r="DA135" s="1238"/>
      <c r="DB135" s="1239"/>
      <c r="DC135" s="1240"/>
      <c r="DD135" s="1241"/>
      <c r="DE135" s="1241"/>
      <c r="DF135" s="1194"/>
      <c r="DG135" s="1194"/>
      <c r="DH135" s="1194"/>
      <c r="DI135" s="1194"/>
      <c r="DJ135" s="1194"/>
      <c r="DK135" s="1194"/>
      <c r="DL135" s="1217"/>
      <c r="DM135" s="1967"/>
      <c r="DN135" s="1968"/>
      <c r="DO135" s="1175"/>
      <c r="DP135" s="1969"/>
      <c r="DQ135" s="1242"/>
      <c r="DR135" s="1242"/>
      <c r="DS135" s="1825"/>
      <c r="DT135" s="1186"/>
      <c r="DU135" s="1246"/>
      <c r="DV135" s="1176"/>
      <c r="DW135" s="1247"/>
      <c r="DX135" s="1661"/>
      <c r="DY135" s="1247"/>
      <c r="DZ135" s="1211"/>
      <c r="EA135" s="1213"/>
      <c r="EB135" s="1213"/>
      <c r="EC135" s="1213"/>
      <c r="ED135" s="1248"/>
      <c r="EE135" s="1213"/>
      <c r="EF135" s="1249"/>
      <c r="EG135" s="1211"/>
      <c r="EH135" s="1213"/>
      <c r="EI135" s="1213"/>
      <c r="EJ135" s="1213"/>
      <c r="EK135" s="1248"/>
      <c r="EL135" s="1175"/>
      <c r="EM135" s="1232"/>
      <c r="EN135" s="1250"/>
      <c r="EO135" s="1176"/>
      <c r="EP135" s="1251"/>
      <c r="EQ135" s="1251"/>
      <c r="ER135" s="1251"/>
      <c r="ES135" s="1251"/>
      <c r="ET135" s="1251"/>
      <c r="EU135" s="1251"/>
      <c r="EV135" s="1251"/>
      <c r="EW135" s="1251"/>
      <c r="EX135" s="1251"/>
      <c r="EY135" s="1251"/>
      <c r="EZ135" s="1251"/>
      <c r="FA135" s="1251"/>
      <c r="FB135" s="1251"/>
      <c r="FC135" s="1251"/>
      <c r="FD135" s="1251"/>
      <c r="FE135" s="1251"/>
      <c r="FF135" s="1251"/>
      <c r="FG135" s="1251"/>
      <c r="FH135" s="1251"/>
      <c r="FI135" s="1251"/>
      <c r="FJ135" s="1251"/>
      <c r="FK135" s="1251"/>
      <c r="FL135" s="1251"/>
      <c r="FM135" s="1251"/>
      <c r="FN135" s="1251"/>
      <c r="FO135" s="1251"/>
      <c r="FP135" s="1251"/>
      <c r="FQ135" s="1251"/>
      <c r="FR135" s="1251"/>
    </row>
    <row r="136" spans="1:174" s="1251" customFormat="1" ht="11.25" customHeight="1" x14ac:dyDescent="0.2">
      <c r="A136" s="1656"/>
      <c r="B136" s="1185"/>
      <c r="C136" s="1175"/>
      <c r="D136" s="1175"/>
      <c r="E136" s="1186"/>
      <c r="F136" s="1175"/>
      <c r="G136" s="1174"/>
      <c r="H136" s="1657"/>
      <c r="I136" s="1174"/>
      <c r="J136" s="1657"/>
      <c r="K136" s="1186"/>
      <c r="L136" s="1188"/>
      <c r="M136" s="1658"/>
      <c r="N136" s="1189"/>
      <c r="O136" s="1659"/>
      <c r="P136" s="1186"/>
      <c r="Q136" s="1185"/>
      <c r="R136" s="1660"/>
      <c r="S136" s="1661"/>
      <c r="T136" s="1190"/>
      <c r="U136" s="1191"/>
      <c r="V136" s="1662"/>
      <c r="W136" s="1663"/>
      <c r="X136" s="1664"/>
      <c r="Y136" s="1193"/>
      <c r="Z136" s="1193"/>
      <c r="AA136" s="1194"/>
      <c r="AB136" s="1665"/>
      <c r="AC136" s="1196"/>
      <c r="AD136" s="1197"/>
      <c r="AE136" s="1198"/>
      <c r="AF136" s="1199"/>
      <c r="AG136" s="1199"/>
      <c r="AH136" s="1200"/>
      <c r="AI136" s="1201"/>
      <c r="AJ136" s="1202"/>
      <c r="AK136" s="1201"/>
      <c r="AL136" s="1203"/>
      <c r="AM136" s="1204"/>
      <c r="AN136" s="1205"/>
      <c r="AO136" s="1206"/>
      <c r="AP136" s="1207"/>
      <c r="AQ136" s="1208"/>
      <c r="AR136" s="1209"/>
      <c r="AS136" s="1210"/>
      <c r="AT136" s="1211"/>
      <c r="AU136" s="1858"/>
      <c r="AV136" s="1213"/>
      <c r="AW136" s="1212"/>
      <c r="AX136" s="1187"/>
      <c r="AY136" s="1176"/>
      <c r="AZ136" s="1666"/>
      <c r="BA136" s="1215"/>
      <c r="BB136" s="1216"/>
      <c r="BC136" s="1667"/>
      <c r="BD136" s="1668"/>
      <c r="BE136" s="1668"/>
      <c r="BF136" s="1217"/>
      <c r="BG136" s="1218"/>
      <c r="BH136" s="1669"/>
      <c r="BI136" s="1670"/>
      <c r="BJ136" s="1220"/>
      <c r="BK136" s="1671"/>
      <c r="BL136" s="1220"/>
      <c r="BM136" s="1672"/>
      <c r="BN136" s="1204"/>
      <c r="BO136" s="1222"/>
      <c r="BP136" s="1223"/>
      <c r="BQ136" s="1224"/>
      <c r="BR136" s="1219"/>
      <c r="BS136" s="1212"/>
      <c r="BT136" s="1673"/>
      <c r="BU136" s="1212"/>
      <c r="BV136" s="1187"/>
      <c r="BW136" s="1226"/>
      <c r="BX136" s="1227"/>
      <c r="BY136" s="1253"/>
      <c r="BZ136" s="1217"/>
      <c r="CA136" s="1228"/>
      <c r="CB136" s="1229"/>
      <c r="CC136" s="1230"/>
      <c r="CD136" s="1194"/>
      <c r="CE136" s="1175"/>
      <c r="CF136" s="1175"/>
      <c r="CG136" s="1254"/>
      <c r="CH136" s="1175"/>
      <c r="CI136" s="1674"/>
      <c r="CJ136" s="1175"/>
      <c r="CK136" s="1232"/>
      <c r="CL136" s="1233"/>
      <c r="CM136" s="1234"/>
      <c r="CN136" s="1233"/>
      <c r="CO136" s="1235"/>
      <c r="CP136" s="1232"/>
      <c r="CQ136" s="1233"/>
      <c r="CR136" s="1234"/>
      <c r="CS136" s="1233"/>
      <c r="CT136" s="1235"/>
      <c r="CU136" s="1236"/>
      <c r="CV136" s="1237"/>
      <c r="CW136" s="1238"/>
      <c r="CX136" s="1239"/>
      <c r="CY136" s="1238"/>
      <c r="CZ136" s="1239"/>
      <c r="DA136" s="1238"/>
      <c r="DB136" s="1239"/>
      <c r="DC136" s="1240"/>
      <c r="DD136" s="1241"/>
      <c r="DE136" s="1241"/>
      <c r="DF136" s="1194"/>
      <c r="DG136" s="1194"/>
      <c r="DH136" s="1194"/>
      <c r="DI136" s="1194"/>
      <c r="DJ136" s="1194"/>
      <c r="DK136" s="1194"/>
      <c r="DL136" s="1217"/>
      <c r="DM136" s="1233"/>
      <c r="DN136" s="1242"/>
      <c r="DO136" s="1736"/>
      <c r="DP136" s="1816"/>
      <c r="DQ136" s="1235"/>
      <c r="DR136" s="1235"/>
      <c r="DS136" s="1244"/>
      <c r="DT136" s="1245"/>
      <c r="DU136" s="1246"/>
      <c r="DV136" s="1176"/>
      <c r="DW136" s="1247"/>
      <c r="DX136" s="1661"/>
      <c r="DY136" s="1247"/>
      <c r="DZ136" s="1860"/>
      <c r="EA136" s="1213"/>
      <c r="EB136" s="1827"/>
      <c r="EC136" s="1213"/>
      <c r="ED136" s="1248"/>
      <c r="EE136" s="1213"/>
      <c r="EF136" s="1249"/>
      <c r="EG136" s="1860"/>
      <c r="EH136" s="1213"/>
      <c r="EI136" s="1827"/>
      <c r="EJ136" s="1213"/>
      <c r="EK136" s="1248"/>
      <c r="EL136" s="1175"/>
      <c r="EM136" s="1232"/>
      <c r="EN136" s="1250"/>
      <c r="EO136" s="1176"/>
    </row>
    <row r="137" spans="1:174" s="1251" customFormat="1" ht="11.25" customHeight="1" x14ac:dyDescent="0.2">
      <c r="A137" s="1656"/>
      <c r="B137" s="1813"/>
      <c r="C137" s="1965"/>
      <c r="D137" s="1175"/>
      <c r="E137" s="1186"/>
      <c r="F137" s="1175"/>
      <c r="G137" s="1174"/>
      <c r="H137" s="1657"/>
      <c r="I137" s="1174"/>
      <c r="J137" s="1657"/>
      <c r="K137" s="1186"/>
      <c r="L137" s="1188"/>
      <c r="M137" s="1658"/>
      <c r="N137" s="1189"/>
      <c r="O137" s="1659"/>
      <c r="P137" s="1186"/>
      <c r="Q137" s="1185"/>
      <c r="R137" s="1660"/>
      <c r="S137" s="1661"/>
      <c r="T137" s="1190"/>
      <c r="U137" s="1191"/>
      <c r="V137" s="1662"/>
      <c r="W137" s="1663"/>
      <c r="X137" s="1664"/>
      <c r="Y137" s="1193"/>
      <c r="Z137" s="1193"/>
      <c r="AA137" s="1194"/>
      <c r="AB137" s="1665"/>
      <c r="AC137" s="1196"/>
      <c r="AD137" s="1197"/>
      <c r="AE137" s="1198"/>
      <c r="AF137" s="1199"/>
      <c r="AG137" s="1199"/>
      <c r="AH137" s="1200"/>
      <c r="AI137" s="1201"/>
      <c r="AJ137" s="1202"/>
      <c r="AK137" s="1201"/>
      <c r="AL137" s="1203"/>
      <c r="AM137" s="1204"/>
      <c r="AN137" s="1205"/>
      <c r="AO137" s="1206"/>
      <c r="AP137" s="1207"/>
      <c r="AQ137" s="1208"/>
      <c r="AR137" s="1209"/>
      <c r="AS137" s="1210"/>
      <c r="AT137" s="1211"/>
      <c r="AU137" s="1858"/>
      <c r="AV137" s="1213"/>
      <c r="AW137" s="1212"/>
      <c r="AX137" s="1187"/>
      <c r="AY137" s="1176"/>
      <c r="AZ137" s="1666"/>
      <c r="BA137" s="1215"/>
      <c r="BB137" s="1216"/>
      <c r="BC137" s="1667"/>
      <c r="BD137" s="1668"/>
      <c r="BE137" s="1668"/>
      <c r="BF137" s="1217"/>
      <c r="BG137" s="1218"/>
      <c r="BH137" s="1669"/>
      <c r="BI137" s="1670"/>
      <c r="BJ137" s="1220"/>
      <c r="BK137" s="1671"/>
      <c r="BL137" s="1220"/>
      <c r="BM137" s="1672"/>
      <c r="BN137" s="1204"/>
      <c r="BO137" s="1222"/>
      <c r="BP137" s="1223"/>
      <c r="BQ137" s="1224"/>
      <c r="BR137" s="1219"/>
      <c r="BS137" s="1212"/>
      <c r="BT137" s="1673"/>
      <c r="BU137" s="1212"/>
      <c r="BV137" s="1187"/>
      <c r="BW137" s="1226"/>
      <c r="BX137" s="1227"/>
      <c r="BY137" s="1253"/>
      <c r="BZ137" s="1217"/>
      <c r="CA137" s="1228"/>
      <c r="CB137" s="1229"/>
      <c r="CC137" s="1230"/>
      <c r="CD137" s="1194"/>
      <c r="CE137" s="1175"/>
      <c r="CF137" s="1175"/>
      <c r="CG137" s="1254"/>
      <c r="CH137" s="1175"/>
      <c r="CI137" s="1674"/>
      <c r="CJ137" s="1175"/>
      <c r="CK137" s="1232"/>
      <c r="CL137" s="1233"/>
      <c r="CM137" s="1234"/>
      <c r="CN137" s="1233"/>
      <c r="CO137" s="1235"/>
      <c r="CP137" s="1232"/>
      <c r="CQ137" s="1233"/>
      <c r="CR137" s="1234"/>
      <c r="CS137" s="1233"/>
      <c r="CT137" s="1235"/>
      <c r="CU137" s="1236"/>
      <c r="CV137" s="1237"/>
      <c r="CW137" s="1238"/>
      <c r="CX137" s="1239"/>
      <c r="CY137" s="1238"/>
      <c r="CZ137" s="1239"/>
      <c r="DA137" s="1238"/>
      <c r="DB137" s="1239"/>
      <c r="DC137" s="1240"/>
      <c r="DD137" s="1241"/>
      <c r="DE137" s="1241"/>
      <c r="DF137" s="1194"/>
      <c r="DG137" s="1194"/>
      <c r="DH137" s="1194"/>
      <c r="DI137" s="1194"/>
      <c r="DJ137" s="1194"/>
      <c r="DK137" s="1194"/>
      <c r="DL137" s="1217"/>
      <c r="DM137" s="1233"/>
      <c r="DN137" s="1242"/>
      <c r="DO137" s="1736"/>
      <c r="DP137" s="1816"/>
      <c r="DQ137" s="1235"/>
      <c r="DR137" s="1242"/>
      <c r="DS137" s="1825"/>
      <c r="DT137" s="1186"/>
      <c r="DU137" s="1246"/>
      <c r="DV137" s="1186"/>
      <c r="DW137" s="1247"/>
      <c r="DX137" s="1661"/>
      <c r="DY137" s="1247"/>
      <c r="DZ137" s="1860"/>
      <c r="EA137" s="1213"/>
      <c r="EB137" s="1827"/>
      <c r="EC137" s="1213"/>
      <c r="ED137" s="1248"/>
      <c r="EE137" s="1213"/>
      <c r="EF137" s="1249"/>
      <c r="EG137" s="1860"/>
      <c r="EH137" s="1213"/>
      <c r="EI137" s="1827"/>
      <c r="EJ137" s="1213"/>
      <c r="EK137" s="1248"/>
      <c r="EL137" s="1175"/>
      <c r="EM137" s="1232"/>
      <c r="EN137" s="1250"/>
      <c r="EO137" s="1176"/>
    </row>
    <row r="138" spans="1:174" s="1731" customFormat="1" ht="11.25" customHeight="1" x14ac:dyDescent="0.2">
      <c r="A138" s="1656"/>
      <c r="B138" s="1185"/>
      <c r="C138" s="1175"/>
      <c r="D138" s="1175"/>
      <c r="E138" s="1186"/>
      <c r="F138" s="1175"/>
      <c r="G138" s="1174"/>
      <c r="H138" s="1657"/>
      <c r="I138" s="1174"/>
      <c r="J138" s="1657"/>
      <c r="K138" s="1186"/>
      <c r="L138" s="1188"/>
      <c r="M138" s="1658"/>
      <c r="N138" s="1189"/>
      <c r="O138" s="1659"/>
      <c r="P138" s="1186"/>
      <c r="Q138" s="1185"/>
      <c r="R138" s="1660"/>
      <c r="S138" s="1661"/>
      <c r="T138" s="1190"/>
      <c r="U138" s="1191"/>
      <c r="V138" s="1662"/>
      <c r="W138" s="1663"/>
      <c r="X138" s="1664"/>
      <c r="Y138" s="1193"/>
      <c r="Z138" s="1193"/>
      <c r="AA138" s="1194"/>
      <c r="AB138" s="1665"/>
      <c r="AC138" s="1196"/>
      <c r="AD138" s="1197"/>
      <c r="AE138" s="1198"/>
      <c r="AF138" s="1199"/>
      <c r="AG138" s="1199"/>
      <c r="AH138" s="1211"/>
      <c r="AI138" s="1212"/>
      <c r="AJ138" s="1213"/>
      <c r="AK138" s="1212"/>
      <c r="AL138" s="1187"/>
      <c r="AM138" s="1204"/>
      <c r="AN138" s="1205"/>
      <c r="AO138" s="1206"/>
      <c r="AP138" s="1207"/>
      <c r="AQ138" s="1208"/>
      <c r="AR138" s="1209"/>
      <c r="AS138" s="1210"/>
      <c r="AT138" s="1211"/>
      <c r="AU138" s="1858"/>
      <c r="AV138" s="1213"/>
      <c r="AW138" s="1212"/>
      <c r="AX138" s="1187"/>
      <c r="AY138" s="1176"/>
      <c r="AZ138" s="1666"/>
      <c r="BA138" s="1215"/>
      <c r="BB138" s="1216"/>
      <c r="BC138" s="1667"/>
      <c r="BD138" s="1668"/>
      <c r="BE138" s="1668"/>
      <c r="BF138" s="1217"/>
      <c r="BG138" s="1218"/>
      <c r="BH138" s="1669"/>
      <c r="BI138" s="1670"/>
      <c r="BJ138" s="1220"/>
      <c r="BK138" s="1671"/>
      <c r="BL138" s="1220"/>
      <c r="BM138" s="1672"/>
      <c r="BN138" s="1204"/>
      <c r="BO138" s="1222"/>
      <c r="BP138" s="1223"/>
      <c r="BQ138" s="1224"/>
      <c r="BR138" s="1219"/>
      <c r="BS138" s="1212"/>
      <c r="BT138" s="1673"/>
      <c r="BU138" s="1212"/>
      <c r="BV138" s="1187"/>
      <c r="BW138" s="1226"/>
      <c r="BX138" s="1227"/>
      <c r="BY138" s="1253"/>
      <c r="BZ138" s="1217"/>
      <c r="CA138" s="1228"/>
      <c r="CB138" s="1229"/>
      <c r="CC138" s="1230"/>
      <c r="CD138" s="1194"/>
      <c r="CE138" s="1175"/>
      <c r="CF138" s="1175"/>
      <c r="CG138" s="1254"/>
      <c r="CH138" s="1175"/>
      <c r="CI138" s="1674"/>
      <c r="CJ138" s="1175"/>
      <c r="CK138" s="1232"/>
      <c r="CL138" s="1233"/>
      <c r="CM138" s="1234"/>
      <c r="CN138" s="1233"/>
      <c r="CO138" s="1235"/>
      <c r="CP138" s="1232"/>
      <c r="CQ138" s="1233"/>
      <c r="CR138" s="1234"/>
      <c r="CS138" s="1233"/>
      <c r="CT138" s="1235"/>
      <c r="CU138" s="1236"/>
      <c r="CV138" s="1237"/>
      <c r="CW138" s="1238"/>
      <c r="CX138" s="1239"/>
      <c r="CY138" s="1238"/>
      <c r="CZ138" s="1239"/>
      <c r="DA138" s="1238"/>
      <c r="DB138" s="1239"/>
      <c r="DC138" s="1240"/>
      <c r="DD138" s="1241"/>
      <c r="DE138" s="1241"/>
      <c r="DF138" s="1194"/>
      <c r="DG138" s="1194"/>
      <c r="DH138" s="1194"/>
      <c r="DI138" s="1194"/>
      <c r="DJ138" s="1194"/>
      <c r="DK138" s="1194"/>
      <c r="DL138" s="1217"/>
      <c r="DM138" s="1233"/>
      <c r="DN138" s="1242"/>
      <c r="DO138" s="1736"/>
      <c r="DP138" s="1816"/>
      <c r="DQ138" s="1235"/>
      <c r="DR138" s="1235"/>
      <c r="DS138" s="1244"/>
      <c r="DT138" s="1245"/>
      <c r="DU138" s="1246"/>
      <c r="DV138" s="1186"/>
      <c r="DW138" s="1247"/>
      <c r="DX138" s="1661"/>
      <c r="DY138" s="1247"/>
      <c r="DZ138" s="1860"/>
      <c r="EA138" s="1213"/>
      <c r="EB138" s="1827"/>
      <c r="EC138" s="1213"/>
      <c r="ED138" s="1248"/>
      <c r="EE138" s="1213"/>
      <c r="EF138" s="1249"/>
      <c r="EG138" s="1860"/>
      <c r="EH138" s="1213"/>
      <c r="EI138" s="1827"/>
      <c r="EJ138" s="1213"/>
      <c r="EK138" s="1248"/>
      <c r="EL138" s="1175"/>
      <c r="EM138" s="1232"/>
      <c r="EN138" s="1250"/>
      <c r="EO138" s="1176"/>
      <c r="EP138" s="1251"/>
      <c r="EQ138" s="1251"/>
      <c r="ER138" s="1251"/>
      <c r="ES138" s="1251"/>
      <c r="ET138" s="1251"/>
      <c r="EU138" s="1251"/>
      <c r="EV138" s="1251"/>
      <c r="EW138" s="1251"/>
      <c r="EX138" s="1251"/>
      <c r="EY138" s="1251"/>
      <c r="EZ138" s="1251"/>
      <c r="FA138" s="1251"/>
      <c r="FB138" s="1251"/>
      <c r="FC138" s="1251"/>
      <c r="FD138" s="1251"/>
      <c r="FE138" s="1251"/>
      <c r="FF138" s="1251"/>
      <c r="FG138" s="1251"/>
      <c r="FH138" s="1251"/>
      <c r="FI138" s="1251"/>
      <c r="FJ138" s="1251"/>
      <c r="FK138" s="1251"/>
      <c r="FL138" s="1251"/>
      <c r="FM138" s="1675"/>
      <c r="FN138" s="1251"/>
      <c r="FO138" s="1251"/>
      <c r="FP138" s="1251"/>
      <c r="FQ138" s="1251"/>
      <c r="FR138" s="1251"/>
    </row>
    <row r="139" spans="1:174" s="1251" customFormat="1" ht="11.25" customHeight="1" x14ac:dyDescent="0.2">
      <c r="A139" s="1656"/>
      <c r="B139" s="1813"/>
      <c r="C139" s="1965"/>
      <c r="D139" s="1175"/>
      <c r="E139" s="1186"/>
      <c r="F139" s="1175"/>
      <c r="G139" s="1174"/>
      <c r="H139" s="1657"/>
      <c r="I139" s="1174"/>
      <c r="J139" s="1657"/>
      <c r="K139" s="1186"/>
      <c r="L139" s="1188"/>
      <c r="M139" s="1658"/>
      <c r="N139" s="1189"/>
      <c r="O139" s="1659"/>
      <c r="P139" s="1186"/>
      <c r="Q139" s="1185"/>
      <c r="R139" s="1660"/>
      <c r="S139" s="1661"/>
      <c r="T139" s="1190"/>
      <c r="U139" s="1191"/>
      <c r="V139" s="1662"/>
      <c r="W139" s="1663"/>
      <c r="X139" s="1664"/>
      <c r="Y139" s="1193"/>
      <c r="Z139" s="1193"/>
      <c r="AA139" s="1194"/>
      <c r="AB139" s="1665"/>
      <c r="AC139" s="1196"/>
      <c r="AD139" s="1197"/>
      <c r="AE139" s="1198"/>
      <c r="AF139" s="1199"/>
      <c r="AG139" s="1199"/>
      <c r="AH139" s="1200"/>
      <c r="AI139" s="1201"/>
      <c r="AJ139" s="1202"/>
      <c r="AK139" s="1201"/>
      <c r="AL139" s="1203"/>
      <c r="AM139" s="1204"/>
      <c r="AN139" s="1205"/>
      <c r="AO139" s="1206"/>
      <c r="AP139" s="1207"/>
      <c r="AQ139" s="1208"/>
      <c r="AR139" s="1209"/>
      <c r="AS139" s="1210"/>
      <c r="AT139" s="1211"/>
      <c r="AU139" s="1212"/>
      <c r="AV139" s="1213"/>
      <c r="AW139" s="1212"/>
      <c r="AX139" s="1187"/>
      <c r="AY139" s="1176"/>
      <c r="AZ139" s="1666"/>
      <c r="BA139" s="1215"/>
      <c r="BB139" s="1216"/>
      <c r="BC139" s="1667"/>
      <c r="BD139" s="1668"/>
      <c r="BE139" s="1668"/>
      <c r="BF139" s="1217"/>
      <c r="BG139" s="1218"/>
      <c r="BH139" s="1669"/>
      <c r="BI139" s="1670"/>
      <c r="BJ139" s="1220"/>
      <c r="BK139" s="1671"/>
      <c r="BL139" s="1220"/>
      <c r="BM139" s="1672"/>
      <c r="BN139" s="1204"/>
      <c r="BO139" s="1222"/>
      <c r="BP139" s="1223"/>
      <c r="BQ139" s="1224"/>
      <c r="BR139" s="1219"/>
      <c r="BS139" s="1212"/>
      <c r="BT139" s="1673"/>
      <c r="BU139" s="1212"/>
      <c r="BV139" s="1187"/>
      <c r="BW139" s="1226"/>
      <c r="BX139" s="1227"/>
      <c r="BY139" s="1253"/>
      <c r="BZ139" s="1217"/>
      <c r="CA139" s="1228"/>
      <c r="CB139" s="1229"/>
      <c r="CC139" s="1230"/>
      <c r="CD139" s="1194"/>
      <c r="CE139" s="1175"/>
      <c r="CF139" s="1175"/>
      <c r="CG139" s="1254"/>
      <c r="CH139" s="1175"/>
      <c r="CI139" s="1674"/>
      <c r="CJ139" s="1175"/>
      <c r="CK139" s="1232"/>
      <c r="CL139" s="1233"/>
      <c r="CM139" s="1234"/>
      <c r="CN139" s="1233"/>
      <c r="CO139" s="1235"/>
      <c r="CP139" s="1232"/>
      <c r="CQ139" s="1233"/>
      <c r="CR139" s="1234"/>
      <c r="CS139" s="1233"/>
      <c r="CT139" s="1235"/>
      <c r="CU139" s="1236"/>
      <c r="CV139" s="1237"/>
      <c r="CW139" s="1238"/>
      <c r="CX139" s="1239"/>
      <c r="CY139" s="1238"/>
      <c r="CZ139" s="1239"/>
      <c r="DA139" s="1238"/>
      <c r="DB139" s="1239"/>
      <c r="DC139" s="1240"/>
      <c r="DD139" s="1241"/>
      <c r="DE139" s="1241"/>
      <c r="DF139" s="1194"/>
      <c r="DG139" s="1194"/>
      <c r="DH139" s="1194"/>
      <c r="DI139" s="1194"/>
      <c r="DJ139" s="1194"/>
      <c r="DK139" s="1194"/>
      <c r="DL139" s="1217"/>
      <c r="DM139" s="1233"/>
      <c r="DN139" s="1242"/>
      <c r="DO139" s="1175"/>
      <c r="DP139" s="1243"/>
      <c r="DQ139" s="1242"/>
      <c r="DR139" s="1242"/>
      <c r="DS139" s="1825"/>
      <c r="DT139" s="1186"/>
      <c r="DU139" s="1246"/>
      <c r="DV139" s="1176"/>
      <c r="DW139" s="1247"/>
      <c r="DX139" s="1661"/>
      <c r="DY139" s="1247"/>
      <c r="DZ139" s="1211"/>
      <c r="EA139" s="1213"/>
      <c r="EB139" s="1213"/>
      <c r="EC139" s="1213"/>
      <c r="ED139" s="1248"/>
      <c r="EE139" s="1213"/>
      <c r="EF139" s="1249"/>
      <c r="EG139" s="1211"/>
      <c r="EH139" s="1213"/>
      <c r="EI139" s="1213"/>
      <c r="EJ139" s="1213"/>
      <c r="EK139" s="1248"/>
      <c r="EL139" s="1175"/>
      <c r="EM139" s="1232"/>
      <c r="EN139" s="1250"/>
      <c r="EO139" s="1176"/>
    </row>
    <row r="140" spans="1:174" s="1251" customFormat="1" ht="11.25" customHeight="1" x14ac:dyDescent="0.2">
      <c r="A140" s="1656"/>
      <c r="B140" s="1185"/>
      <c r="C140" s="1175"/>
      <c r="D140" s="1175"/>
      <c r="E140" s="1186"/>
      <c r="F140" s="1175"/>
      <c r="G140" s="1174"/>
      <c r="H140" s="1657"/>
      <c r="I140" s="1174"/>
      <c r="J140" s="1657"/>
      <c r="K140" s="1186"/>
      <c r="L140" s="1188"/>
      <c r="M140" s="1658"/>
      <c r="N140" s="1189"/>
      <c r="O140" s="1659"/>
      <c r="P140" s="1186"/>
      <c r="Q140" s="1185"/>
      <c r="R140" s="1660"/>
      <c r="S140" s="1661"/>
      <c r="T140" s="1190"/>
      <c r="U140" s="1191"/>
      <c r="V140" s="1662"/>
      <c r="W140" s="1663"/>
      <c r="X140" s="1664"/>
      <c r="Y140" s="1193"/>
      <c r="Z140" s="1193"/>
      <c r="AA140" s="1194"/>
      <c r="AB140" s="1665"/>
      <c r="AC140" s="1196"/>
      <c r="AD140" s="1197"/>
      <c r="AE140" s="1198"/>
      <c r="AF140" s="1206"/>
      <c r="AG140" s="1210"/>
      <c r="AH140" s="1200"/>
      <c r="AI140" s="1201"/>
      <c r="AJ140" s="1202"/>
      <c r="AK140" s="1201"/>
      <c r="AL140" s="1203"/>
      <c r="AM140" s="1204"/>
      <c r="AN140" s="1205"/>
      <c r="AO140" s="1912"/>
      <c r="AP140" s="1913"/>
      <c r="AQ140" s="1914"/>
      <c r="AR140" s="1978"/>
      <c r="AS140" s="1210"/>
      <c r="AT140" s="1211"/>
      <c r="AU140" s="1212"/>
      <c r="AV140" s="1213"/>
      <c r="AW140" s="1212"/>
      <c r="AX140" s="1187"/>
      <c r="AY140" s="1176"/>
      <c r="AZ140" s="1666"/>
      <c r="BA140" s="1215"/>
      <c r="BB140" s="1216"/>
      <c r="BC140" s="1667"/>
      <c r="BD140" s="1668"/>
      <c r="BE140" s="1668"/>
      <c r="BF140" s="1217"/>
      <c r="BG140" s="1218"/>
      <c r="BH140" s="1669"/>
      <c r="BI140" s="1670"/>
      <c r="BJ140" s="1220"/>
      <c r="BK140" s="1671"/>
      <c r="BL140" s="1220"/>
      <c r="BM140" s="1672"/>
      <c r="BN140" s="1204"/>
      <c r="BO140" s="1222"/>
      <c r="BP140" s="1223"/>
      <c r="BQ140" s="1224"/>
      <c r="BR140" s="1219"/>
      <c r="BS140" s="1212"/>
      <c r="BT140" s="1673"/>
      <c r="BU140" s="1212"/>
      <c r="BV140" s="1187"/>
      <c r="BW140" s="1226"/>
      <c r="BX140" s="1227"/>
      <c r="BY140" s="1253"/>
      <c r="BZ140" s="1217"/>
      <c r="CA140" s="1228"/>
      <c r="CB140" s="1229"/>
      <c r="CC140" s="1230"/>
      <c r="CD140" s="1194"/>
      <c r="CE140" s="1175"/>
      <c r="CF140" s="1175"/>
      <c r="CG140" s="1254"/>
      <c r="CH140" s="1175"/>
      <c r="CI140" s="1674"/>
      <c r="CJ140" s="1175"/>
      <c r="CK140" s="1232"/>
      <c r="CL140" s="1233"/>
      <c r="CM140" s="1234"/>
      <c r="CN140" s="1233"/>
      <c r="CO140" s="1235"/>
      <c r="CP140" s="1232"/>
      <c r="CQ140" s="1233"/>
      <c r="CR140" s="1234"/>
      <c r="CS140" s="1233"/>
      <c r="CT140" s="1235"/>
      <c r="CU140" s="1236"/>
      <c r="CV140" s="1237"/>
      <c r="CW140" s="1238"/>
      <c r="CX140" s="1239"/>
      <c r="CY140" s="1238"/>
      <c r="CZ140" s="1239"/>
      <c r="DA140" s="1238"/>
      <c r="DB140" s="1239"/>
      <c r="DC140" s="1240"/>
      <c r="DD140" s="1241"/>
      <c r="DE140" s="1241"/>
      <c r="DF140" s="1194"/>
      <c r="DG140" s="1194"/>
      <c r="DH140" s="1194"/>
      <c r="DI140" s="1194"/>
      <c r="DJ140" s="1194"/>
      <c r="DK140" s="1194"/>
      <c r="DL140" s="1217"/>
      <c r="DM140" s="1233"/>
      <c r="DN140" s="1242"/>
      <c r="DO140" s="1736"/>
      <c r="DP140" s="1816"/>
      <c r="DQ140" s="1235"/>
      <c r="DR140" s="1235"/>
      <c r="DS140" s="1244"/>
      <c r="DT140" s="1245"/>
      <c r="DU140" s="1246"/>
      <c r="DV140" s="1176"/>
      <c r="DW140" s="1247"/>
      <c r="DX140" s="1661"/>
      <c r="DY140" s="1247"/>
      <c r="DZ140" s="1211"/>
      <c r="EA140" s="1213"/>
      <c r="EB140" s="1213"/>
      <c r="EC140" s="1213"/>
      <c r="ED140" s="1248"/>
      <c r="EE140" s="1213"/>
      <c r="EF140" s="1249"/>
      <c r="EG140" s="1211"/>
      <c r="EH140" s="1213"/>
      <c r="EI140" s="1213"/>
      <c r="EJ140" s="1213"/>
      <c r="EK140" s="1248"/>
      <c r="EL140" s="1175"/>
      <c r="EM140" s="1232"/>
      <c r="EN140" s="1250"/>
      <c r="EO140" s="1176"/>
      <c r="FM140" s="1964"/>
    </row>
    <row r="141" spans="1:174" s="1251" customFormat="1" ht="11.25" customHeight="1" x14ac:dyDescent="0.2">
      <c r="A141" s="1656"/>
      <c r="B141" s="1656"/>
      <c r="C141" s="1656"/>
      <c r="D141" s="1656"/>
      <c r="E141" s="1994"/>
      <c r="F141" s="1656"/>
      <c r="G141" s="1995"/>
      <c r="H141" s="1996"/>
      <c r="I141" s="1995"/>
      <c r="J141" s="1996"/>
      <c r="K141" s="1994"/>
      <c r="L141" s="1997"/>
      <c r="M141" s="1998"/>
      <c r="N141" s="1189"/>
      <c r="O141" s="1659"/>
      <c r="P141" s="1186"/>
      <c r="Q141" s="1185"/>
      <c r="R141" s="1660"/>
      <c r="S141" s="1661"/>
      <c r="T141" s="1190"/>
      <c r="U141" s="1191"/>
      <c r="V141" s="1662"/>
      <c r="W141" s="1663"/>
      <c r="X141" s="1664"/>
      <c r="Y141" s="1193"/>
      <c r="Z141" s="1193"/>
      <c r="AA141" s="1194"/>
      <c r="AB141" s="1665"/>
      <c r="AC141" s="1196"/>
      <c r="AD141" s="1197"/>
      <c r="AE141" s="1198"/>
      <c r="AF141" s="1199"/>
      <c r="AG141" s="1199"/>
      <c r="AH141" s="1200"/>
      <c r="AI141" s="1201"/>
      <c r="AJ141" s="1202"/>
      <c r="AK141" s="1201"/>
      <c r="AL141" s="1203"/>
      <c r="AM141" s="1204"/>
      <c r="AN141" s="1205"/>
      <c r="AO141" s="1206"/>
      <c r="AP141" s="1207"/>
      <c r="AQ141" s="1208"/>
      <c r="AR141" s="1209"/>
      <c r="AS141" s="1210"/>
      <c r="AT141" s="1211"/>
      <c r="AU141" s="1212"/>
      <c r="AV141" s="1213"/>
      <c r="AW141" s="1212"/>
      <c r="AX141" s="1187"/>
      <c r="AY141" s="1176"/>
      <c r="AZ141" s="1666"/>
      <c r="BA141" s="1215"/>
      <c r="BB141" s="1216"/>
      <c r="BC141" s="1667"/>
      <c r="BD141" s="1668"/>
      <c r="BE141" s="1668"/>
      <c r="BF141" s="1217"/>
      <c r="BG141" s="1218"/>
      <c r="BH141" s="1669"/>
      <c r="BI141" s="1670"/>
      <c r="BJ141" s="1220"/>
      <c r="BK141" s="1671"/>
      <c r="BL141" s="1220"/>
      <c r="BM141" s="1672"/>
      <c r="BN141" s="1204"/>
      <c r="BO141" s="1222"/>
      <c r="BP141" s="1223"/>
      <c r="BQ141" s="1224"/>
      <c r="BR141" s="1219"/>
      <c r="BS141" s="1212"/>
      <c r="BT141" s="1673"/>
      <c r="BU141" s="1212"/>
      <c r="BV141" s="1187"/>
      <c r="BW141" s="1226"/>
      <c r="BX141" s="1227"/>
      <c r="BY141" s="1253"/>
      <c r="BZ141" s="1217"/>
      <c r="CA141" s="1228"/>
      <c r="CB141" s="1229"/>
      <c r="CC141" s="1230"/>
      <c r="CD141" s="1194"/>
      <c r="CE141" s="1175"/>
      <c r="CF141" s="1175"/>
      <c r="CG141" s="1254"/>
      <c r="CH141" s="1175"/>
      <c r="CI141" s="1674"/>
      <c r="CJ141" s="1175"/>
      <c r="CK141" s="1232"/>
      <c r="CL141" s="1233"/>
      <c r="CM141" s="1234"/>
      <c r="CN141" s="1233"/>
      <c r="CO141" s="1235"/>
      <c r="CP141" s="1232"/>
      <c r="CQ141" s="1233"/>
      <c r="CR141" s="1234"/>
      <c r="CS141" s="1233"/>
      <c r="CT141" s="1235"/>
      <c r="CU141" s="1236"/>
      <c r="CV141" s="1237"/>
      <c r="CW141" s="1238"/>
      <c r="CX141" s="1239"/>
      <c r="CY141" s="1238"/>
      <c r="CZ141" s="1239"/>
      <c r="DA141" s="1238"/>
      <c r="DB141" s="1239"/>
      <c r="DC141" s="1240"/>
      <c r="DD141" s="1241"/>
      <c r="DE141" s="1241"/>
      <c r="DF141" s="1194"/>
      <c r="DG141" s="1194"/>
      <c r="DH141" s="1194"/>
      <c r="DI141" s="1194"/>
      <c r="DJ141" s="1194"/>
      <c r="DK141" s="1194"/>
      <c r="DL141" s="1217"/>
      <c r="DM141" s="1233"/>
      <c r="DN141" s="1242"/>
      <c r="DO141" s="1736"/>
      <c r="DP141" s="1816"/>
      <c r="DQ141" s="1235"/>
      <c r="DR141" s="1242"/>
      <c r="DS141" s="1825"/>
      <c r="DT141" s="1186"/>
      <c r="DU141" s="1246"/>
      <c r="DV141" s="1176"/>
      <c r="DW141" s="1247"/>
      <c r="DX141" s="1661"/>
      <c r="DY141" s="1247"/>
      <c r="DZ141" s="1211"/>
      <c r="EA141" s="1213"/>
      <c r="EB141" s="1213"/>
      <c r="EC141" s="1213"/>
      <c r="ED141" s="1248"/>
      <c r="EE141" s="1213"/>
      <c r="EF141" s="1249"/>
      <c r="EG141" s="1211"/>
      <c r="EH141" s="1213"/>
      <c r="EI141" s="1213"/>
      <c r="EJ141" s="1213"/>
      <c r="EK141" s="1248"/>
      <c r="EL141" s="1175"/>
      <c r="EM141" s="1232"/>
      <c r="EN141" s="1250"/>
      <c r="EO141" s="1176"/>
      <c r="FN141" s="1977"/>
      <c r="FO141" s="1977"/>
      <c r="FP141" s="1977"/>
      <c r="FQ141" s="1977"/>
      <c r="FR141" s="1977"/>
    </row>
    <row r="142" spans="1:174" s="1251" customFormat="1" ht="11.25" customHeight="1" x14ac:dyDescent="0.2">
      <c r="A142" s="1656"/>
      <c r="B142" s="1813"/>
      <c r="C142" s="1965"/>
      <c r="D142" s="1175"/>
      <c r="E142" s="1186"/>
      <c r="F142" s="1175"/>
      <c r="G142" s="1174"/>
      <c r="H142" s="1657"/>
      <c r="I142" s="1174"/>
      <c r="J142" s="1657"/>
      <c r="K142" s="1186"/>
      <c r="L142" s="1188"/>
      <c r="M142" s="1658"/>
      <c r="N142" s="1189"/>
      <c r="O142" s="1659"/>
      <c r="P142" s="1186"/>
      <c r="Q142" s="1185"/>
      <c r="R142" s="1660"/>
      <c r="S142" s="1661"/>
      <c r="T142" s="1190"/>
      <c r="U142" s="1191"/>
      <c r="V142" s="1662"/>
      <c r="W142" s="1663"/>
      <c r="X142" s="1664"/>
      <c r="Y142" s="1193"/>
      <c r="Z142" s="1193"/>
      <c r="AA142" s="1194"/>
      <c r="AB142" s="1665"/>
      <c r="AC142" s="1196"/>
      <c r="AD142" s="1197"/>
      <c r="AE142" s="1198"/>
      <c r="AF142" s="1206"/>
      <c r="AG142" s="1210"/>
      <c r="AH142" s="1200"/>
      <c r="AI142" s="1201"/>
      <c r="AJ142" s="1202"/>
      <c r="AK142" s="1201"/>
      <c r="AL142" s="1203"/>
      <c r="AM142" s="1204"/>
      <c r="AN142" s="1205"/>
      <c r="AO142" s="1912"/>
      <c r="AP142" s="1913"/>
      <c r="AQ142" s="1914"/>
      <c r="AR142" s="1978"/>
      <c r="AS142" s="1210"/>
      <c r="AT142" s="1211"/>
      <c r="AU142" s="1212"/>
      <c r="AV142" s="1213"/>
      <c r="AW142" s="1212"/>
      <c r="AX142" s="1187"/>
      <c r="AY142" s="1176"/>
      <c r="AZ142" s="1666"/>
      <c r="BA142" s="1215"/>
      <c r="BB142" s="1216"/>
      <c r="BC142" s="1667"/>
      <c r="BD142" s="1668"/>
      <c r="BE142" s="1668"/>
      <c r="BF142" s="1217"/>
      <c r="BG142" s="1218"/>
      <c r="BH142" s="1669"/>
      <c r="BI142" s="1670"/>
      <c r="BJ142" s="1220"/>
      <c r="BK142" s="1671"/>
      <c r="BL142" s="1220"/>
      <c r="BM142" s="1672"/>
      <c r="BN142" s="1204"/>
      <c r="BO142" s="1222"/>
      <c r="BP142" s="1223"/>
      <c r="BQ142" s="1224"/>
      <c r="BR142" s="1219"/>
      <c r="BS142" s="1212"/>
      <c r="BT142" s="1673"/>
      <c r="BU142" s="1212"/>
      <c r="BV142" s="1187"/>
      <c r="BW142" s="1226"/>
      <c r="BX142" s="1227"/>
      <c r="BY142" s="1253"/>
      <c r="BZ142" s="1217"/>
      <c r="CA142" s="1228"/>
      <c r="CB142" s="1229"/>
      <c r="CC142" s="1230"/>
      <c r="CD142" s="1194"/>
      <c r="CE142" s="1175"/>
      <c r="CF142" s="1175"/>
      <c r="CG142" s="1254"/>
      <c r="CH142" s="1175"/>
      <c r="CI142" s="1674"/>
      <c r="CJ142" s="1175"/>
      <c r="CK142" s="1232"/>
      <c r="CL142" s="1233"/>
      <c r="CM142" s="1234"/>
      <c r="CN142" s="1233"/>
      <c r="CO142" s="1235"/>
      <c r="CP142" s="1232"/>
      <c r="CQ142" s="1233"/>
      <c r="CR142" s="1234"/>
      <c r="CS142" s="1233"/>
      <c r="CT142" s="1235"/>
      <c r="CU142" s="1236"/>
      <c r="CV142" s="1237"/>
      <c r="CW142" s="1238"/>
      <c r="CX142" s="1239"/>
      <c r="CY142" s="1238"/>
      <c r="CZ142" s="1239"/>
      <c r="DA142" s="1238"/>
      <c r="DB142" s="1239"/>
      <c r="DC142" s="1240"/>
      <c r="DD142" s="1241"/>
      <c r="DE142" s="1241"/>
      <c r="DF142" s="1194"/>
      <c r="DG142" s="1194"/>
      <c r="DH142" s="1194"/>
      <c r="DI142" s="1194"/>
      <c r="DJ142" s="1194"/>
      <c r="DK142" s="1194"/>
      <c r="DL142" s="1217"/>
      <c r="DM142" s="1233"/>
      <c r="DN142" s="1242"/>
      <c r="DO142" s="1736"/>
      <c r="DP142" s="1816"/>
      <c r="DQ142" s="1235"/>
      <c r="DR142" s="1242"/>
      <c r="DS142" s="1825"/>
      <c r="DT142" s="1186"/>
      <c r="DU142" s="1246"/>
      <c r="DV142" s="1176"/>
      <c r="DW142" s="1247"/>
      <c r="DX142" s="1661"/>
      <c r="DY142" s="1247"/>
      <c r="DZ142" s="1211"/>
      <c r="EA142" s="1213"/>
      <c r="EB142" s="1213"/>
      <c r="EC142" s="1213"/>
      <c r="ED142" s="1248"/>
      <c r="EE142" s="1213"/>
      <c r="EF142" s="1249"/>
      <c r="EG142" s="1211"/>
      <c r="EH142" s="1213"/>
      <c r="EI142" s="1213"/>
      <c r="EJ142" s="1213"/>
      <c r="EK142" s="1248"/>
      <c r="EL142" s="1175"/>
      <c r="EM142" s="1232"/>
      <c r="EN142" s="1250"/>
      <c r="EO142" s="1176"/>
      <c r="FM142" s="1840"/>
      <c r="FN142" s="1977"/>
      <c r="FO142" s="1977"/>
      <c r="FP142" s="1977"/>
      <c r="FQ142" s="1977"/>
      <c r="FR142" s="1977"/>
    </row>
    <row r="143" spans="1:174" s="1251" customFormat="1" ht="11.25" customHeight="1" x14ac:dyDescent="0.2">
      <c r="A143" s="1656"/>
      <c r="B143" s="1185"/>
      <c r="C143" s="1175"/>
      <c r="D143" s="1175"/>
      <c r="E143" s="1186"/>
      <c r="F143" s="1175"/>
      <c r="G143" s="1174"/>
      <c r="H143" s="1657"/>
      <c r="I143" s="1174"/>
      <c r="J143" s="1657"/>
      <c r="K143" s="1186"/>
      <c r="L143" s="1188"/>
      <c r="M143" s="1658"/>
      <c r="N143" s="1189"/>
      <c r="O143" s="1659"/>
      <c r="P143" s="1186"/>
      <c r="Q143" s="1185"/>
      <c r="R143" s="1660"/>
      <c r="S143" s="1661"/>
      <c r="T143" s="1190"/>
      <c r="U143" s="1191"/>
      <c r="V143" s="1662"/>
      <c r="W143" s="1663"/>
      <c r="X143" s="1664"/>
      <c r="Y143" s="1193"/>
      <c r="Z143" s="1193"/>
      <c r="AA143" s="1194"/>
      <c r="AB143" s="1665"/>
      <c r="AC143" s="1196"/>
      <c r="AD143" s="1197"/>
      <c r="AE143" s="1198"/>
      <c r="AF143" s="1206"/>
      <c r="AG143" s="1210"/>
      <c r="AH143" s="1200"/>
      <c r="AI143" s="1201"/>
      <c r="AJ143" s="1202"/>
      <c r="AK143" s="1201"/>
      <c r="AL143" s="1203"/>
      <c r="AM143" s="1204"/>
      <c r="AN143" s="1205"/>
      <c r="AO143" s="1912"/>
      <c r="AP143" s="1913"/>
      <c r="AQ143" s="1914"/>
      <c r="AR143" s="1978"/>
      <c r="AS143" s="1210"/>
      <c r="AT143" s="1211"/>
      <c r="AU143" s="1212"/>
      <c r="AV143" s="1213"/>
      <c r="AW143" s="1212"/>
      <c r="AX143" s="1187"/>
      <c r="AY143" s="1176"/>
      <c r="AZ143" s="1666"/>
      <c r="BA143" s="1215"/>
      <c r="BB143" s="1216"/>
      <c r="BC143" s="1667"/>
      <c r="BD143" s="1668"/>
      <c r="BE143" s="1668"/>
      <c r="BF143" s="1217"/>
      <c r="BG143" s="1218"/>
      <c r="BH143" s="1669"/>
      <c r="BI143" s="1670"/>
      <c r="BJ143" s="1220"/>
      <c r="BK143" s="1671"/>
      <c r="BL143" s="1220"/>
      <c r="BM143" s="1672"/>
      <c r="BN143" s="1204"/>
      <c r="BO143" s="1222"/>
      <c r="BP143" s="1223"/>
      <c r="BQ143" s="1224"/>
      <c r="BR143" s="1219"/>
      <c r="BS143" s="1212"/>
      <c r="BT143" s="1673"/>
      <c r="BU143" s="1212"/>
      <c r="BV143" s="1187"/>
      <c r="BW143" s="1226"/>
      <c r="BX143" s="1227"/>
      <c r="BY143" s="1253"/>
      <c r="BZ143" s="1217"/>
      <c r="CA143" s="1228"/>
      <c r="CB143" s="1229"/>
      <c r="CC143" s="1230"/>
      <c r="CD143" s="1194"/>
      <c r="CE143" s="1175"/>
      <c r="CF143" s="1175"/>
      <c r="CG143" s="1254"/>
      <c r="CH143" s="1175"/>
      <c r="CI143" s="1674"/>
      <c r="CJ143" s="1175"/>
      <c r="CK143" s="1232"/>
      <c r="CL143" s="1233"/>
      <c r="CM143" s="1234"/>
      <c r="CN143" s="1233"/>
      <c r="CO143" s="1235"/>
      <c r="CP143" s="1232"/>
      <c r="CQ143" s="1233"/>
      <c r="CR143" s="1234"/>
      <c r="CS143" s="1233"/>
      <c r="CT143" s="1235"/>
      <c r="CU143" s="1236"/>
      <c r="CV143" s="1237"/>
      <c r="CW143" s="1238"/>
      <c r="CX143" s="1239"/>
      <c r="CY143" s="1238"/>
      <c r="CZ143" s="1239"/>
      <c r="DA143" s="1238"/>
      <c r="DB143" s="1239"/>
      <c r="DC143" s="1240"/>
      <c r="DD143" s="1241"/>
      <c r="DE143" s="1241"/>
      <c r="DF143" s="1194"/>
      <c r="DG143" s="1194"/>
      <c r="DH143" s="1194"/>
      <c r="DI143" s="1194"/>
      <c r="DJ143" s="1194"/>
      <c r="DK143" s="1194"/>
      <c r="DL143" s="1217"/>
      <c r="DM143" s="1233"/>
      <c r="DN143" s="1242"/>
      <c r="DO143" s="1736"/>
      <c r="DP143" s="1816"/>
      <c r="DQ143" s="1235"/>
      <c r="DR143" s="1235"/>
      <c r="DS143" s="1244"/>
      <c r="DT143" s="1245"/>
      <c r="DU143" s="1246"/>
      <c r="DV143" s="1176"/>
      <c r="DW143" s="1247"/>
      <c r="DX143" s="1661"/>
      <c r="DY143" s="1247"/>
      <c r="DZ143" s="1211"/>
      <c r="EA143" s="1213"/>
      <c r="EB143" s="1213"/>
      <c r="EC143" s="1213"/>
      <c r="ED143" s="1248"/>
      <c r="EE143" s="1213"/>
      <c r="EF143" s="1249"/>
      <c r="EG143" s="1211"/>
      <c r="EH143" s="1213"/>
      <c r="EI143" s="1213"/>
      <c r="EJ143" s="1213"/>
      <c r="EK143" s="1248"/>
      <c r="EL143" s="1175"/>
      <c r="EM143" s="1232"/>
      <c r="EN143" s="1250"/>
      <c r="EO143" s="1176"/>
      <c r="FN143" s="1977"/>
      <c r="FO143" s="1977"/>
      <c r="FP143" s="1977"/>
      <c r="FQ143" s="1977"/>
      <c r="FR143" s="1977"/>
    </row>
    <row r="144" spans="1:174" s="1251" customFormat="1" ht="11.25" customHeight="1" x14ac:dyDescent="0.2">
      <c r="A144" s="1656"/>
      <c r="B144" s="1813"/>
      <c r="C144" s="1175"/>
      <c r="D144" s="1175"/>
      <c r="E144" s="1186"/>
      <c r="F144" s="1175"/>
      <c r="G144" s="1174"/>
      <c r="H144" s="1657"/>
      <c r="I144" s="1174"/>
      <c r="J144" s="1657"/>
      <c r="K144" s="1186"/>
      <c r="L144" s="1188"/>
      <c r="M144" s="1658"/>
      <c r="N144" s="1189"/>
      <c r="O144" s="1659"/>
      <c r="P144" s="1186"/>
      <c r="Q144" s="1185"/>
      <c r="R144" s="1660"/>
      <c r="S144" s="1661"/>
      <c r="T144" s="1190"/>
      <c r="U144" s="1191"/>
      <c r="V144" s="1662"/>
      <c r="W144" s="1663"/>
      <c r="X144" s="1664"/>
      <c r="Y144" s="1193"/>
      <c r="Z144" s="1193"/>
      <c r="AA144" s="1194"/>
      <c r="AB144" s="1665"/>
      <c r="AC144" s="1196"/>
      <c r="AD144" s="1197"/>
      <c r="AE144" s="1198"/>
      <c r="AF144" s="1199"/>
      <c r="AG144" s="1199"/>
      <c r="AH144" s="1200"/>
      <c r="AI144" s="1201"/>
      <c r="AJ144" s="1202"/>
      <c r="AK144" s="1201"/>
      <c r="AL144" s="1203"/>
      <c r="AM144" s="1204"/>
      <c r="AN144" s="1205"/>
      <c r="AO144" s="1206"/>
      <c r="AP144" s="1207"/>
      <c r="AQ144" s="1208"/>
      <c r="AR144" s="1209"/>
      <c r="AS144" s="1210"/>
      <c r="AT144" s="1211"/>
      <c r="AU144" s="1212"/>
      <c r="AV144" s="1213"/>
      <c r="AW144" s="1829"/>
      <c r="AX144" s="1187"/>
      <c r="AY144" s="1176"/>
      <c r="AZ144" s="1666"/>
      <c r="BA144" s="1215"/>
      <c r="BB144" s="1216"/>
      <c r="BC144" s="1667"/>
      <c r="BD144" s="1668"/>
      <c r="BE144" s="1668"/>
      <c r="BF144" s="1217"/>
      <c r="BG144" s="1218"/>
      <c r="BH144" s="1669"/>
      <c r="BI144" s="1670"/>
      <c r="BJ144" s="1220"/>
      <c r="BK144" s="1671"/>
      <c r="BL144" s="1220"/>
      <c r="BM144" s="1672"/>
      <c r="BN144" s="1204"/>
      <c r="BO144" s="1222"/>
      <c r="BP144" s="1223"/>
      <c r="BQ144" s="1224"/>
      <c r="BR144" s="1219"/>
      <c r="BS144" s="1212"/>
      <c r="BT144" s="1673"/>
      <c r="BU144" s="1212"/>
      <c r="BV144" s="1187"/>
      <c r="BW144" s="1226"/>
      <c r="BX144" s="1227"/>
      <c r="BY144" s="1253"/>
      <c r="BZ144" s="1217"/>
      <c r="CA144" s="1228"/>
      <c r="CB144" s="1229"/>
      <c r="CC144" s="1230"/>
      <c r="CD144" s="1194"/>
      <c r="CE144" s="1175"/>
      <c r="CF144" s="1175"/>
      <c r="CG144" s="1254"/>
      <c r="CH144" s="1175"/>
      <c r="CI144" s="1674"/>
      <c r="CJ144" s="1175"/>
      <c r="CK144" s="1232"/>
      <c r="CL144" s="1233"/>
      <c r="CM144" s="1234"/>
      <c r="CN144" s="1233"/>
      <c r="CO144" s="1235"/>
      <c r="CP144" s="1232"/>
      <c r="CQ144" s="1233"/>
      <c r="CR144" s="1234"/>
      <c r="CS144" s="1233"/>
      <c r="CT144" s="1235"/>
      <c r="CU144" s="1236"/>
      <c r="CV144" s="1237"/>
      <c r="CW144" s="1238"/>
      <c r="CX144" s="1239"/>
      <c r="CY144" s="1238"/>
      <c r="CZ144" s="1239"/>
      <c r="DA144" s="1238"/>
      <c r="DB144" s="1239"/>
      <c r="DC144" s="1240"/>
      <c r="DD144" s="1241"/>
      <c r="DE144" s="1241"/>
      <c r="DF144" s="1194"/>
      <c r="DG144" s="1194"/>
      <c r="DH144" s="1194"/>
      <c r="DI144" s="1194"/>
      <c r="DJ144" s="1194"/>
      <c r="DK144" s="1194"/>
      <c r="DL144" s="1217"/>
      <c r="DM144" s="1967"/>
      <c r="DN144" s="1968"/>
      <c r="DO144" s="1831"/>
      <c r="DP144" s="1969"/>
      <c r="DQ144" s="1833"/>
      <c r="DR144" s="1836"/>
      <c r="DS144" s="1999"/>
      <c r="DT144" s="1664"/>
      <c r="DU144" s="1246"/>
      <c r="DV144" s="1176"/>
      <c r="DW144" s="1247"/>
      <c r="DX144" s="1661"/>
      <c r="DY144" s="1247"/>
      <c r="DZ144" s="1211"/>
      <c r="EA144" s="1213"/>
      <c r="EB144" s="2000"/>
      <c r="EC144" s="1213"/>
      <c r="ED144" s="1248"/>
      <c r="EE144" s="1213"/>
      <c r="EF144" s="1249"/>
      <c r="EG144" s="1211"/>
      <c r="EH144" s="1213"/>
      <c r="EI144" s="2000"/>
      <c r="EJ144" s="1213"/>
      <c r="EK144" s="1248"/>
      <c r="EL144" s="1175"/>
      <c r="EM144" s="1232"/>
      <c r="EN144" s="1250"/>
      <c r="EO144" s="1176"/>
    </row>
    <row r="145" spans="1:174" s="1731" customFormat="1" ht="11.25" customHeight="1" x14ac:dyDescent="0.2">
      <c r="A145" s="1656"/>
      <c r="B145" s="1185"/>
      <c r="C145" s="1175"/>
      <c r="D145" s="1175"/>
      <c r="E145" s="1186"/>
      <c r="F145" s="1175"/>
      <c r="G145" s="1174"/>
      <c r="H145" s="1657"/>
      <c r="I145" s="1174"/>
      <c r="J145" s="1657"/>
      <c r="K145" s="1186"/>
      <c r="L145" s="1188"/>
      <c r="M145" s="1658"/>
      <c r="N145" s="1189"/>
      <c r="O145" s="1659"/>
      <c r="P145" s="1186"/>
      <c r="Q145" s="1185"/>
      <c r="R145" s="1660"/>
      <c r="S145" s="1661"/>
      <c r="T145" s="1190"/>
      <c r="U145" s="1191"/>
      <c r="V145" s="1662"/>
      <c r="W145" s="1663"/>
      <c r="X145" s="1664"/>
      <c r="Y145" s="1193"/>
      <c r="Z145" s="1193"/>
      <c r="AA145" s="1194"/>
      <c r="AB145" s="1665"/>
      <c r="AC145" s="1196"/>
      <c r="AD145" s="1197"/>
      <c r="AE145" s="1198"/>
      <c r="AF145" s="1199"/>
      <c r="AG145" s="1199"/>
      <c r="AH145" s="1200"/>
      <c r="AI145" s="1201"/>
      <c r="AJ145" s="1202"/>
      <c r="AK145" s="1201"/>
      <c r="AL145" s="1203"/>
      <c r="AM145" s="1204"/>
      <c r="AN145" s="1205"/>
      <c r="AO145" s="1206"/>
      <c r="AP145" s="1207"/>
      <c r="AQ145" s="1208"/>
      <c r="AR145" s="1209"/>
      <c r="AS145" s="1210"/>
      <c r="AT145" s="1211"/>
      <c r="AU145" s="1212"/>
      <c r="AV145" s="1213"/>
      <c r="AW145" s="1212"/>
      <c r="AX145" s="1187"/>
      <c r="AY145" s="1176"/>
      <c r="AZ145" s="1666"/>
      <c r="BA145" s="1215"/>
      <c r="BB145" s="1216"/>
      <c r="BC145" s="1667"/>
      <c r="BD145" s="1668"/>
      <c r="BE145" s="1668"/>
      <c r="BF145" s="1217"/>
      <c r="BG145" s="1218"/>
      <c r="BH145" s="1669"/>
      <c r="BI145" s="1670"/>
      <c r="BJ145" s="1220"/>
      <c r="BK145" s="1671"/>
      <c r="BL145" s="1220"/>
      <c r="BM145" s="1672"/>
      <c r="BN145" s="1204"/>
      <c r="BO145" s="1222"/>
      <c r="BP145" s="1223"/>
      <c r="BQ145" s="1224"/>
      <c r="BR145" s="1219"/>
      <c r="BS145" s="1212"/>
      <c r="BT145" s="1673"/>
      <c r="BU145" s="1212"/>
      <c r="BV145" s="1187"/>
      <c r="BW145" s="1226"/>
      <c r="BX145" s="1227"/>
      <c r="BY145" s="1253"/>
      <c r="BZ145" s="1217"/>
      <c r="CA145" s="1228"/>
      <c r="CB145" s="1229"/>
      <c r="CC145" s="1230"/>
      <c r="CD145" s="1194"/>
      <c r="CE145" s="1175"/>
      <c r="CF145" s="1175"/>
      <c r="CG145" s="1254"/>
      <c r="CH145" s="1175"/>
      <c r="CI145" s="1175"/>
      <c r="CJ145" s="1175"/>
      <c r="CK145" s="1232"/>
      <c r="CL145" s="1233"/>
      <c r="CM145" s="1234"/>
      <c r="CN145" s="1233"/>
      <c r="CO145" s="1235"/>
      <c r="CP145" s="1232"/>
      <c r="CQ145" s="1233"/>
      <c r="CR145" s="1242"/>
      <c r="CS145" s="1233"/>
      <c r="CT145" s="1235"/>
      <c r="CU145" s="1236"/>
      <c r="CV145" s="1237"/>
      <c r="CW145" s="1238"/>
      <c r="CX145" s="1239"/>
      <c r="CY145" s="1238"/>
      <c r="CZ145" s="1239"/>
      <c r="DA145" s="1238"/>
      <c r="DB145" s="1239"/>
      <c r="DC145" s="1240"/>
      <c r="DD145" s="1241"/>
      <c r="DE145" s="1241"/>
      <c r="DF145" s="1194"/>
      <c r="DG145" s="1194"/>
      <c r="DH145" s="1194"/>
      <c r="DI145" s="1194"/>
      <c r="DJ145" s="1194"/>
      <c r="DK145" s="1194"/>
      <c r="DL145" s="1217"/>
      <c r="DM145" s="1967"/>
      <c r="DN145" s="1968"/>
      <c r="DO145" s="1736"/>
      <c r="DP145" s="1969"/>
      <c r="DQ145" s="1235"/>
      <c r="DR145" s="1242"/>
      <c r="DS145" s="1825"/>
      <c r="DT145" s="1186"/>
      <c r="DU145" s="1246"/>
      <c r="DV145" s="1176"/>
      <c r="DW145" s="1247"/>
      <c r="DX145" s="1661"/>
      <c r="DY145" s="1247"/>
      <c r="DZ145" s="1211"/>
      <c r="EA145" s="1213"/>
      <c r="EB145" s="1213"/>
      <c r="EC145" s="1213"/>
      <c r="ED145" s="1248"/>
      <c r="EE145" s="1213"/>
      <c r="EF145" s="1249"/>
      <c r="EG145" s="1211"/>
      <c r="EH145" s="1213"/>
      <c r="EI145" s="1213"/>
      <c r="EJ145" s="1213"/>
      <c r="EK145" s="1248"/>
      <c r="EL145" s="1855"/>
      <c r="EM145" s="1232"/>
      <c r="EN145" s="1250"/>
      <c r="EO145" s="1176"/>
      <c r="EP145" s="1251"/>
      <c r="EQ145" s="1251"/>
      <c r="ER145" s="1251"/>
      <c r="ES145" s="1251"/>
      <c r="ET145" s="1251"/>
      <c r="EU145" s="1251"/>
      <c r="EV145" s="1251"/>
      <c r="EW145" s="1251"/>
      <c r="EX145" s="1251"/>
      <c r="EY145" s="1251"/>
      <c r="EZ145" s="1251"/>
      <c r="FA145" s="1251"/>
      <c r="FB145" s="1251"/>
      <c r="FC145" s="1251"/>
      <c r="FD145" s="1251"/>
      <c r="FE145" s="1251"/>
      <c r="FF145" s="1251"/>
      <c r="FG145" s="1251"/>
      <c r="FH145" s="1251"/>
      <c r="FI145" s="1251"/>
      <c r="FJ145" s="1251"/>
      <c r="FK145" s="1251"/>
      <c r="FL145" s="1251"/>
      <c r="FM145" s="1251"/>
      <c r="FN145" s="1251"/>
      <c r="FO145" s="1251"/>
      <c r="FP145" s="1251"/>
      <c r="FQ145" s="1251"/>
      <c r="FR145" s="1251"/>
    </row>
    <row r="146" spans="1:174" s="1251" customFormat="1" ht="11.25" customHeight="1" x14ac:dyDescent="0.2">
      <c r="A146" s="1656"/>
      <c r="B146" s="1813"/>
      <c r="C146" s="1175"/>
      <c r="D146" s="1175"/>
      <c r="E146" s="1186"/>
      <c r="F146" s="1175"/>
      <c r="G146" s="1174"/>
      <c r="H146" s="1657"/>
      <c r="I146" s="1174"/>
      <c r="J146" s="1657"/>
      <c r="K146" s="1186"/>
      <c r="L146" s="1188"/>
      <c r="M146" s="1658"/>
      <c r="N146" s="1189"/>
      <c r="O146" s="1659"/>
      <c r="P146" s="1186"/>
      <c r="Q146" s="1185"/>
      <c r="R146" s="1660"/>
      <c r="S146" s="1661"/>
      <c r="T146" s="1190"/>
      <c r="U146" s="1191"/>
      <c r="V146" s="1662"/>
      <c r="W146" s="1663"/>
      <c r="X146" s="1664"/>
      <c r="Y146" s="1193"/>
      <c r="Z146" s="1193"/>
      <c r="AA146" s="1194"/>
      <c r="AB146" s="1665"/>
      <c r="AC146" s="1196"/>
      <c r="AD146" s="1197"/>
      <c r="AE146" s="1198"/>
      <c r="AF146" s="1199"/>
      <c r="AG146" s="1199"/>
      <c r="AH146" s="1200"/>
      <c r="AI146" s="1201"/>
      <c r="AJ146" s="1202"/>
      <c r="AK146" s="1201"/>
      <c r="AL146" s="1203"/>
      <c r="AM146" s="1204"/>
      <c r="AN146" s="1205"/>
      <c r="AO146" s="1206"/>
      <c r="AP146" s="1207"/>
      <c r="AQ146" s="1208"/>
      <c r="AR146" s="1209"/>
      <c r="AS146" s="1210"/>
      <c r="AT146" s="1211"/>
      <c r="AU146" s="1212"/>
      <c r="AV146" s="1213"/>
      <c r="AW146" s="1212"/>
      <c r="AX146" s="2001"/>
      <c r="AY146" s="2002"/>
      <c r="AZ146" s="1214"/>
      <c r="BA146" s="1215"/>
      <c r="BB146" s="1216"/>
      <c r="BC146" s="1667"/>
      <c r="BD146" s="1668"/>
      <c r="BE146" s="1668"/>
      <c r="BF146" s="1217"/>
      <c r="BG146" s="1218"/>
      <c r="BH146" s="1669"/>
      <c r="BI146" s="1670"/>
      <c r="BJ146" s="1220"/>
      <c r="BK146" s="1671"/>
      <c r="BL146" s="1220"/>
      <c r="BM146" s="1672"/>
      <c r="BN146" s="1204"/>
      <c r="BO146" s="1222"/>
      <c r="BP146" s="1223"/>
      <c r="BQ146" s="1224"/>
      <c r="BR146" s="1219"/>
      <c r="BS146" s="1212"/>
      <c r="BT146" s="1673"/>
      <c r="BU146" s="1212"/>
      <c r="BV146" s="1187"/>
      <c r="BW146" s="1226"/>
      <c r="BX146" s="1227"/>
      <c r="BY146" s="1253"/>
      <c r="BZ146" s="1217"/>
      <c r="CA146" s="1228"/>
      <c r="CB146" s="1229"/>
      <c r="CC146" s="1230"/>
      <c r="CD146" s="1194"/>
      <c r="CE146" s="1175"/>
      <c r="CF146" s="1175"/>
      <c r="CG146" s="1254"/>
      <c r="CH146" s="1175"/>
      <c r="CI146" s="1175"/>
      <c r="CJ146" s="1175"/>
      <c r="CK146" s="1232"/>
      <c r="CL146" s="1233"/>
      <c r="CM146" s="1234"/>
      <c r="CN146" s="1233"/>
      <c r="CO146" s="1235"/>
      <c r="CP146" s="1232"/>
      <c r="CQ146" s="1233"/>
      <c r="CR146" s="1234"/>
      <c r="CS146" s="1233"/>
      <c r="CT146" s="1235"/>
      <c r="CU146" s="1236"/>
      <c r="CV146" s="1237"/>
      <c r="CW146" s="1238"/>
      <c r="CX146" s="1239"/>
      <c r="CY146" s="1238"/>
      <c r="CZ146" s="1239"/>
      <c r="DA146" s="1238"/>
      <c r="DB146" s="1239"/>
      <c r="DC146" s="1240"/>
      <c r="DD146" s="1241"/>
      <c r="DE146" s="1241"/>
      <c r="DF146" s="1194"/>
      <c r="DG146" s="1194"/>
      <c r="DH146" s="1194"/>
      <c r="DI146" s="1194"/>
      <c r="DJ146" s="1194"/>
      <c r="DK146" s="1194"/>
      <c r="DL146" s="1217"/>
      <c r="DM146" s="1233"/>
      <c r="DN146" s="1242"/>
      <c r="DO146" s="1736"/>
      <c r="DP146" s="1816"/>
      <c r="DQ146" s="1235"/>
      <c r="DR146" s="1242"/>
      <c r="DS146" s="1825"/>
      <c r="DT146" s="1186"/>
      <c r="DU146" s="1246"/>
      <c r="DV146" s="1176"/>
      <c r="DW146" s="1247"/>
      <c r="DX146" s="1661"/>
      <c r="DY146" s="1247"/>
      <c r="DZ146" s="1211"/>
      <c r="EA146" s="1213"/>
      <c r="EB146" s="1213"/>
      <c r="EC146" s="1213"/>
      <c r="ED146" s="1248"/>
      <c r="EE146" s="1213"/>
      <c r="EF146" s="1249"/>
      <c r="EG146" s="1211"/>
      <c r="EH146" s="1213"/>
      <c r="EI146" s="1213"/>
      <c r="EJ146" s="1213"/>
      <c r="EK146" s="1248"/>
      <c r="EL146" s="1175"/>
      <c r="EM146" s="1232"/>
      <c r="EN146" s="1250"/>
      <c r="EO146" s="1176"/>
      <c r="FN146" s="1971"/>
      <c r="FO146" s="1971"/>
      <c r="FP146" s="1971"/>
      <c r="FQ146" s="1971"/>
      <c r="FR146" s="1971"/>
    </row>
    <row r="147" spans="1:174" s="1251" customFormat="1" ht="11.25" customHeight="1" x14ac:dyDescent="0.2">
      <c r="A147" s="1656"/>
      <c r="B147" s="1185"/>
      <c r="C147" s="1175"/>
      <c r="D147" s="1175"/>
      <c r="E147" s="1186"/>
      <c r="F147" s="1175"/>
      <c r="G147" s="1174"/>
      <c r="H147" s="1657"/>
      <c r="I147" s="1174"/>
      <c r="J147" s="1657"/>
      <c r="K147" s="1186"/>
      <c r="L147" s="1188"/>
      <c r="M147" s="1658"/>
      <c r="N147" s="1189"/>
      <c r="O147" s="1659"/>
      <c r="P147" s="1186"/>
      <c r="Q147" s="1185"/>
      <c r="R147" s="1660"/>
      <c r="S147" s="1661"/>
      <c r="T147" s="1190"/>
      <c r="U147" s="1191"/>
      <c r="V147" s="1662"/>
      <c r="W147" s="1663"/>
      <c r="X147" s="1664"/>
      <c r="Y147" s="1193"/>
      <c r="Z147" s="1193"/>
      <c r="AA147" s="1194"/>
      <c r="AB147" s="1665"/>
      <c r="AC147" s="1196"/>
      <c r="AD147" s="1197"/>
      <c r="AE147" s="1198"/>
      <c r="AF147" s="1199"/>
      <c r="AG147" s="1199"/>
      <c r="AH147" s="1211"/>
      <c r="AI147" s="1212"/>
      <c r="AJ147" s="1213"/>
      <c r="AK147" s="1212"/>
      <c r="AL147" s="1187"/>
      <c r="AM147" s="1204"/>
      <c r="AN147" s="1205"/>
      <c r="AO147" s="1206"/>
      <c r="AP147" s="1207"/>
      <c r="AQ147" s="1208"/>
      <c r="AR147" s="1209"/>
      <c r="AS147" s="1210"/>
      <c r="AT147" s="1211"/>
      <c r="AU147" s="1212"/>
      <c r="AV147" s="1213"/>
      <c r="AW147" s="1212"/>
      <c r="AX147" s="1187"/>
      <c r="AY147" s="1176"/>
      <c r="AZ147" s="1214"/>
      <c r="BA147" s="1215"/>
      <c r="BB147" s="1216"/>
      <c r="BC147" s="1667"/>
      <c r="BD147" s="1668"/>
      <c r="BE147" s="1668"/>
      <c r="BF147" s="1217"/>
      <c r="BG147" s="1218"/>
      <c r="BH147" s="1669"/>
      <c r="BI147" s="1670"/>
      <c r="BJ147" s="1220"/>
      <c r="BK147" s="1671"/>
      <c r="BL147" s="1220"/>
      <c r="BM147" s="1672"/>
      <c r="BN147" s="1204"/>
      <c r="BO147" s="1222"/>
      <c r="BP147" s="1223"/>
      <c r="BQ147" s="1224"/>
      <c r="BR147" s="1219"/>
      <c r="BS147" s="1212"/>
      <c r="BT147" s="1673"/>
      <c r="BU147" s="1212"/>
      <c r="BV147" s="1187"/>
      <c r="BW147" s="1226"/>
      <c r="BX147" s="1227"/>
      <c r="BY147" s="1253"/>
      <c r="BZ147" s="1217"/>
      <c r="CA147" s="1228"/>
      <c r="CB147" s="1229"/>
      <c r="CC147" s="1230"/>
      <c r="CD147" s="1194"/>
      <c r="CE147" s="1175"/>
      <c r="CF147" s="1175"/>
      <c r="CG147" s="1254"/>
      <c r="CH147" s="1175"/>
      <c r="CI147" s="1175"/>
      <c r="CJ147" s="1175"/>
      <c r="CK147" s="1232"/>
      <c r="CL147" s="1233"/>
      <c r="CM147" s="1234"/>
      <c r="CN147" s="1233"/>
      <c r="CO147" s="1235"/>
      <c r="CP147" s="1232"/>
      <c r="CQ147" s="1233"/>
      <c r="CR147" s="1234"/>
      <c r="CS147" s="1233"/>
      <c r="CT147" s="1235"/>
      <c r="CU147" s="1236"/>
      <c r="CV147" s="1237"/>
      <c r="CW147" s="1238"/>
      <c r="CX147" s="1239"/>
      <c r="CY147" s="1238"/>
      <c r="CZ147" s="1239"/>
      <c r="DA147" s="1238"/>
      <c r="DB147" s="1239"/>
      <c r="DC147" s="1240"/>
      <c r="DD147" s="1241"/>
      <c r="DE147" s="1241"/>
      <c r="DF147" s="1194"/>
      <c r="DG147" s="1194"/>
      <c r="DH147" s="1194"/>
      <c r="DI147" s="1194"/>
      <c r="DJ147" s="1194"/>
      <c r="DK147" s="1194"/>
      <c r="DL147" s="1217"/>
      <c r="DM147" s="1233"/>
      <c r="DN147" s="1242"/>
      <c r="DO147" s="1736"/>
      <c r="DP147" s="1816"/>
      <c r="DQ147" s="1235"/>
      <c r="DR147" s="1242"/>
      <c r="DS147" s="1825"/>
      <c r="DT147" s="1186"/>
      <c r="DU147" s="1246"/>
      <c r="DV147" s="1176"/>
      <c r="DW147" s="1247"/>
      <c r="DX147" s="1661"/>
      <c r="DY147" s="1247"/>
      <c r="DZ147" s="1211"/>
      <c r="EA147" s="1213"/>
      <c r="EB147" s="1638"/>
      <c r="EC147" s="1213"/>
      <c r="ED147" s="1248"/>
      <c r="EE147" s="1213"/>
      <c r="EF147" s="1249"/>
      <c r="EG147" s="1211"/>
      <c r="EH147" s="1213"/>
      <c r="EI147" s="1638"/>
      <c r="EJ147" s="1213"/>
      <c r="EK147" s="1248"/>
      <c r="EL147" s="1175"/>
      <c r="EM147" s="1232"/>
      <c r="EN147" s="1250"/>
      <c r="EO147" s="1176"/>
      <c r="EP147" s="1971"/>
      <c r="EQ147" s="1971"/>
      <c r="ER147" s="1971"/>
      <c r="ES147" s="1971"/>
      <c r="ET147" s="1971"/>
      <c r="EU147" s="1971"/>
      <c r="EV147" s="1971"/>
      <c r="EW147" s="1971"/>
      <c r="EX147" s="1971"/>
      <c r="EY147" s="1971"/>
      <c r="EZ147" s="1971"/>
      <c r="FA147" s="1971"/>
      <c r="FB147" s="1971"/>
      <c r="FC147" s="1971"/>
      <c r="FD147" s="1971"/>
      <c r="FE147" s="1971"/>
      <c r="FF147" s="1971"/>
      <c r="FG147" s="1971"/>
      <c r="FH147" s="1971"/>
      <c r="FI147" s="1971"/>
      <c r="FJ147" s="1971"/>
      <c r="FK147" s="1971"/>
      <c r="FL147" s="1971"/>
    </row>
    <row r="148" spans="1:174" s="1964" customFormat="1" ht="11.25" customHeight="1" x14ac:dyDescent="0.2">
      <c r="A148" s="1656"/>
      <c r="B148" s="1813"/>
      <c r="C148" s="1175"/>
      <c r="D148" s="1175"/>
      <c r="E148" s="1186"/>
      <c r="F148" s="1175"/>
      <c r="G148" s="1174"/>
      <c r="H148" s="1657"/>
      <c r="I148" s="1174"/>
      <c r="J148" s="1657"/>
      <c r="K148" s="1186"/>
      <c r="L148" s="1188"/>
      <c r="M148" s="1658"/>
      <c r="N148" s="1189"/>
      <c r="O148" s="1659"/>
      <c r="P148" s="1186"/>
      <c r="Q148" s="1185"/>
      <c r="R148" s="1660"/>
      <c r="S148" s="1661"/>
      <c r="T148" s="1190"/>
      <c r="U148" s="1191"/>
      <c r="V148" s="1662"/>
      <c r="W148" s="1663"/>
      <c r="X148" s="1664"/>
      <c r="Y148" s="1193"/>
      <c r="Z148" s="1193"/>
      <c r="AA148" s="1194"/>
      <c r="AB148" s="1665"/>
      <c r="AC148" s="1196"/>
      <c r="AD148" s="1197"/>
      <c r="AE148" s="1198"/>
      <c r="AF148" s="1199"/>
      <c r="AG148" s="1199"/>
      <c r="AH148" s="1200"/>
      <c r="AI148" s="1201"/>
      <c r="AJ148" s="1202"/>
      <c r="AK148" s="1201"/>
      <c r="AL148" s="1203"/>
      <c r="AM148" s="1204"/>
      <c r="AN148" s="1205"/>
      <c r="AO148" s="1206"/>
      <c r="AP148" s="1207"/>
      <c r="AQ148" s="1208"/>
      <c r="AR148" s="1209"/>
      <c r="AS148" s="1210"/>
      <c r="AT148" s="1211"/>
      <c r="AU148" s="1212"/>
      <c r="AV148" s="1827"/>
      <c r="AW148" s="1858"/>
      <c r="AX148" s="1187"/>
      <c r="AY148" s="1176"/>
      <c r="AZ148" s="2003"/>
      <c r="BA148" s="1215"/>
      <c r="BB148" s="1216"/>
      <c r="BC148" s="1667"/>
      <c r="BD148" s="1668"/>
      <c r="BE148" s="1668"/>
      <c r="BF148" s="1217"/>
      <c r="BG148" s="1218"/>
      <c r="BH148" s="1669"/>
      <c r="BI148" s="1670"/>
      <c r="BJ148" s="1220"/>
      <c r="BK148" s="1671"/>
      <c r="BL148" s="1220"/>
      <c r="BM148" s="1672"/>
      <c r="BN148" s="1204"/>
      <c r="BO148" s="1222"/>
      <c r="BP148" s="1223"/>
      <c r="BQ148" s="1224"/>
      <c r="BR148" s="1219"/>
      <c r="BS148" s="1212"/>
      <c r="BT148" s="1673"/>
      <c r="BU148" s="1212"/>
      <c r="BV148" s="1187"/>
      <c r="BW148" s="1226"/>
      <c r="BX148" s="1227"/>
      <c r="BY148" s="1253"/>
      <c r="BZ148" s="1217"/>
      <c r="CA148" s="1228"/>
      <c r="CB148" s="1229"/>
      <c r="CC148" s="1230"/>
      <c r="CD148" s="1194"/>
      <c r="CE148" s="1175"/>
      <c r="CF148" s="1175"/>
      <c r="CG148" s="1254"/>
      <c r="CH148" s="1175"/>
      <c r="CI148" s="1175"/>
      <c r="CJ148" s="1175"/>
      <c r="CK148" s="1232"/>
      <c r="CL148" s="1233"/>
      <c r="CM148" s="1234"/>
      <c r="CN148" s="1233"/>
      <c r="CO148" s="1235"/>
      <c r="CP148" s="1232"/>
      <c r="CQ148" s="1233"/>
      <c r="CR148" s="1234"/>
      <c r="CS148" s="1233"/>
      <c r="CT148" s="1235"/>
      <c r="CU148" s="1236"/>
      <c r="CV148" s="1237"/>
      <c r="CW148" s="1238"/>
      <c r="CX148" s="1239"/>
      <c r="CY148" s="1238"/>
      <c r="CZ148" s="1239"/>
      <c r="DA148" s="1238"/>
      <c r="DB148" s="1239"/>
      <c r="DC148" s="1240"/>
      <c r="DD148" s="1241"/>
      <c r="DE148" s="1241"/>
      <c r="DF148" s="1194"/>
      <c r="DG148" s="1194"/>
      <c r="DH148" s="1194"/>
      <c r="DI148" s="1194"/>
      <c r="DJ148" s="2004"/>
      <c r="DK148" s="1194"/>
      <c r="DL148" s="1217"/>
      <c r="DM148" s="1233"/>
      <c r="DN148" s="1242"/>
      <c r="DO148" s="2005"/>
      <c r="DP148" s="1816"/>
      <c r="DQ148" s="1235"/>
      <c r="DR148" s="1235"/>
      <c r="DS148" s="1244"/>
      <c r="DT148" s="1245"/>
      <c r="DU148" s="1246"/>
      <c r="DV148" s="1176"/>
      <c r="DW148" s="1247"/>
      <c r="DX148" s="1661"/>
      <c r="DY148" s="1247"/>
      <c r="DZ148" s="1211"/>
      <c r="EA148" s="1213"/>
      <c r="EB148" s="1213"/>
      <c r="EC148" s="1213"/>
      <c r="ED148" s="1248"/>
      <c r="EE148" s="1213"/>
      <c r="EF148" s="1249"/>
      <c r="EG148" s="1211"/>
      <c r="EH148" s="1213"/>
      <c r="EI148" s="1213"/>
      <c r="EJ148" s="1213"/>
      <c r="EK148" s="1248"/>
      <c r="EL148" s="1175"/>
      <c r="EM148" s="1232"/>
      <c r="EN148" s="1250"/>
      <c r="EO148" s="1176"/>
      <c r="EP148" s="1971"/>
      <c r="EQ148" s="1971"/>
      <c r="ER148" s="1971"/>
      <c r="ES148" s="1971"/>
      <c r="ET148" s="1971"/>
      <c r="EU148" s="1971"/>
      <c r="EV148" s="1971"/>
      <c r="EW148" s="1971"/>
      <c r="EX148" s="1971"/>
      <c r="EY148" s="1971"/>
      <c r="EZ148" s="1971"/>
      <c r="FA148" s="1971"/>
      <c r="FB148" s="1971"/>
      <c r="FC148" s="1971"/>
      <c r="FD148" s="1971"/>
      <c r="FE148" s="1971"/>
      <c r="FF148" s="1971"/>
      <c r="FG148" s="1971"/>
      <c r="FH148" s="1971"/>
      <c r="FI148" s="1971"/>
      <c r="FJ148" s="1971"/>
      <c r="FK148" s="1971"/>
      <c r="FL148" s="1971"/>
      <c r="FM148" s="1251"/>
      <c r="FN148" s="1675"/>
      <c r="FO148" s="1675"/>
      <c r="FP148" s="1675"/>
      <c r="FQ148" s="1675"/>
      <c r="FR148" s="1675"/>
    </row>
    <row r="149" spans="1:174" s="2006" customFormat="1" ht="11.25" customHeight="1" x14ac:dyDescent="0.2">
      <c r="A149" s="1656"/>
      <c r="B149" s="1185"/>
      <c r="C149" s="1175"/>
      <c r="D149" s="1175"/>
      <c r="E149" s="1186"/>
      <c r="F149" s="1175"/>
      <c r="G149" s="1174"/>
      <c r="H149" s="1657"/>
      <c r="I149" s="1174"/>
      <c r="J149" s="1657"/>
      <c r="K149" s="1186"/>
      <c r="L149" s="1188"/>
      <c r="M149" s="1658"/>
      <c r="N149" s="1189"/>
      <c r="O149" s="1659"/>
      <c r="P149" s="1186"/>
      <c r="Q149" s="1185"/>
      <c r="R149" s="1660"/>
      <c r="S149" s="1661"/>
      <c r="T149" s="1190"/>
      <c r="U149" s="1191"/>
      <c r="V149" s="1662"/>
      <c r="W149" s="1663"/>
      <c r="X149" s="1664"/>
      <c r="Y149" s="1193"/>
      <c r="Z149" s="1193"/>
      <c r="AA149" s="1194"/>
      <c r="AB149" s="1665"/>
      <c r="AC149" s="1196"/>
      <c r="AD149" s="1197"/>
      <c r="AE149" s="1198"/>
      <c r="AF149" s="1199"/>
      <c r="AG149" s="1199"/>
      <c r="AH149" s="1732"/>
      <c r="AI149" s="1733"/>
      <c r="AJ149" s="1734"/>
      <c r="AK149" s="1733"/>
      <c r="AL149" s="1203"/>
      <c r="AM149" s="1204"/>
      <c r="AN149" s="1205"/>
      <c r="AO149" s="1206"/>
      <c r="AP149" s="1207"/>
      <c r="AQ149" s="1208"/>
      <c r="AR149" s="1209"/>
      <c r="AS149" s="1210"/>
      <c r="AT149" s="1211"/>
      <c r="AU149" s="1212"/>
      <c r="AV149" s="1213"/>
      <c r="AW149" s="1212"/>
      <c r="AX149" s="1735"/>
      <c r="AY149" s="1176"/>
      <c r="AZ149" s="1214"/>
      <c r="BA149" s="1215"/>
      <c r="BB149" s="1216"/>
      <c r="BC149" s="1667"/>
      <c r="BD149" s="1668"/>
      <c r="BE149" s="1668"/>
      <c r="BF149" s="1217"/>
      <c r="BG149" s="1218"/>
      <c r="BH149" s="1669"/>
      <c r="BI149" s="1670"/>
      <c r="BJ149" s="1220"/>
      <c r="BK149" s="1671"/>
      <c r="BL149" s="1220"/>
      <c r="BM149" s="1672"/>
      <c r="BN149" s="1204"/>
      <c r="BO149" s="1222"/>
      <c r="BP149" s="1223"/>
      <c r="BQ149" s="1224"/>
      <c r="BR149" s="1219"/>
      <c r="BS149" s="1212"/>
      <c r="BT149" s="1673"/>
      <c r="BU149" s="1212"/>
      <c r="BV149" s="1187"/>
      <c r="BW149" s="1226"/>
      <c r="BX149" s="1227"/>
      <c r="BY149" s="1253"/>
      <c r="BZ149" s="1217"/>
      <c r="CA149" s="1228"/>
      <c r="CB149" s="1229"/>
      <c r="CC149" s="1230"/>
      <c r="CD149" s="1194"/>
      <c r="CE149" s="1175"/>
      <c r="CF149" s="1175"/>
      <c r="CG149" s="1254"/>
      <c r="CH149" s="1175"/>
      <c r="CI149" s="1175"/>
      <c r="CJ149" s="1175"/>
      <c r="CK149" s="1232"/>
      <c r="CL149" s="1233"/>
      <c r="CM149" s="1234"/>
      <c r="CN149" s="1233"/>
      <c r="CO149" s="1235"/>
      <c r="CP149" s="1232"/>
      <c r="CQ149" s="1233"/>
      <c r="CR149" s="1234"/>
      <c r="CS149" s="1233"/>
      <c r="CT149" s="1235"/>
      <c r="CU149" s="1236"/>
      <c r="CV149" s="1237"/>
      <c r="CW149" s="1238"/>
      <c r="CX149" s="1239"/>
      <c r="CY149" s="1238"/>
      <c r="CZ149" s="1239"/>
      <c r="DA149" s="1238"/>
      <c r="DB149" s="1239"/>
      <c r="DC149" s="1240"/>
      <c r="DD149" s="1241"/>
      <c r="DE149" s="1241"/>
      <c r="DF149" s="1194"/>
      <c r="DG149" s="1194"/>
      <c r="DH149" s="1194"/>
      <c r="DI149" s="1194"/>
      <c r="DJ149" s="1194"/>
      <c r="DK149" s="1194"/>
      <c r="DL149" s="1217"/>
      <c r="DM149" s="1233"/>
      <c r="DN149" s="1242"/>
      <c r="DO149" s="1736"/>
      <c r="DP149" s="1243"/>
      <c r="DQ149" s="1242"/>
      <c r="DR149" s="1235"/>
      <c r="DS149" s="1244"/>
      <c r="DT149" s="1245"/>
      <c r="DU149" s="1246"/>
      <c r="DV149" s="1176"/>
      <c r="DW149" s="1247"/>
      <c r="DX149" s="1661"/>
      <c r="DY149" s="1247"/>
      <c r="DZ149" s="1211"/>
      <c r="EA149" s="1213"/>
      <c r="EB149" s="1972"/>
      <c r="EC149" s="1213"/>
      <c r="ED149" s="1248"/>
      <c r="EE149" s="1213"/>
      <c r="EF149" s="1249"/>
      <c r="EG149" s="1211"/>
      <c r="EH149" s="1213"/>
      <c r="EI149" s="1972"/>
      <c r="EJ149" s="1213"/>
      <c r="EK149" s="1248"/>
      <c r="EL149" s="1175"/>
      <c r="EM149" s="1232"/>
      <c r="EN149" s="1250"/>
      <c r="EO149" s="1176"/>
      <c r="EP149" s="1251"/>
      <c r="EQ149" s="1251"/>
      <c r="ER149" s="1251"/>
      <c r="ES149" s="1251"/>
      <c r="ET149" s="1251"/>
      <c r="EU149" s="1251"/>
      <c r="EV149" s="1251"/>
      <c r="EW149" s="1251"/>
      <c r="EX149" s="1251"/>
      <c r="EY149" s="1251"/>
      <c r="EZ149" s="1251"/>
      <c r="FA149" s="1251"/>
      <c r="FB149" s="1251"/>
      <c r="FC149" s="1251"/>
      <c r="FD149" s="1251"/>
      <c r="FE149" s="1251"/>
      <c r="FF149" s="1251"/>
      <c r="FG149" s="1251"/>
      <c r="FH149" s="1251"/>
      <c r="FI149" s="1251"/>
      <c r="FJ149" s="1251"/>
      <c r="FK149" s="1251"/>
      <c r="FL149" s="1251"/>
      <c r="FM149" s="1251"/>
      <c r="FN149" s="1251"/>
      <c r="FO149" s="1251"/>
      <c r="FP149" s="1251"/>
      <c r="FQ149" s="1251"/>
      <c r="FR149" s="1251"/>
    </row>
    <row r="150" spans="1:174" s="2007" customFormat="1" ht="11.25" customHeight="1" x14ac:dyDescent="0.2">
      <c r="A150" s="1656"/>
      <c r="B150" s="1813"/>
      <c r="C150" s="1175"/>
      <c r="D150" s="1175"/>
      <c r="E150" s="1186"/>
      <c r="F150" s="1175"/>
      <c r="G150" s="1174"/>
      <c r="H150" s="1657"/>
      <c r="I150" s="1174"/>
      <c r="J150" s="1657"/>
      <c r="K150" s="1186"/>
      <c r="L150" s="1188"/>
      <c r="M150" s="1658"/>
      <c r="N150" s="1189"/>
      <c r="O150" s="1659"/>
      <c r="P150" s="1186"/>
      <c r="Q150" s="1185"/>
      <c r="R150" s="1660"/>
      <c r="S150" s="1661"/>
      <c r="T150" s="1190"/>
      <c r="U150" s="1191"/>
      <c r="V150" s="1662"/>
      <c r="W150" s="1663"/>
      <c r="X150" s="1664"/>
      <c r="Y150" s="1193"/>
      <c r="Z150" s="1193"/>
      <c r="AA150" s="1194"/>
      <c r="AB150" s="1665"/>
      <c r="AC150" s="1196"/>
      <c r="AD150" s="1197"/>
      <c r="AE150" s="1198"/>
      <c r="AF150" s="1199"/>
      <c r="AG150" s="1199"/>
      <c r="AH150" s="1732"/>
      <c r="AI150" s="1733"/>
      <c r="AJ150" s="1734"/>
      <c r="AK150" s="1733"/>
      <c r="AL150" s="1203"/>
      <c r="AM150" s="1204"/>
      <c r="AN150" s="1205"/>
      <c r="AO150" s="1206"/>
      <c r="AP150" s="1207"/>
      <c r="AQ150" s="1208"/>
      <c r="AR150" s="1209"/>
      <c r="AS150" s="1210"/>
      <c r="AT150" s="1211"/>
      <c r="AU150" s="1212"/>
      <c r="AV150" s="1213"/>
      <c r="AW150" s="1212"/>
      <c r="AX150" s="1778"/>
      <c r="AY150" s="1176"/>
      <c r="AZ150" s="1214"/>
      <c r="BA150" s="1215"/>
      <c r="BB150" s="1216"/>
      <c r="BC150" s="1667"/>
      <c r="BD150" s="1668"/>
      <c r="BE150" s="1668"/>
      <c r="BF150" s="1217"/>
      <c r="BG150" s="1218"/>
      <c r="BH150" s="1669"/>
      <c r="BI150" s="1670"/>
      <c r="BJ150" s="1220"/>
      <c r="BK150" s="1671"/>
      <c r="BL150" s="1220"/>
      <c r="BM150" s="1672"/>
      <c r="BN150" s="1204"/>
      <c r="BO150" s="1222"/>
      <c r="BP150" s="1223"/>
      <c r="BQ150" s="1224"/>
      <c r="BR150" s="1219"/>
      <c r="BS150" s="1212"/>
      <c r="BT150" s="1673"/>
      <c r="BU150" s="1212"/>
      <c r="BV150" s="1187"/>
      <c r="BW150" s="1226"/>
      <c r="BX150" s="1227"/>
      <c r="BY150" s="1253"/>
      <c r="BZ150" s="1217"/>
      <c r="CA150" s="1228"/>
      <c r="CB150" s="1229"/>
      <c r="CC150" s="1230"/>
      <c r="CD150" s="1194"/>
      <c r="CE150" s="1175"/>
      <c r="CF150" s="1175"/>
      <c r="CG150" s="1254"/>
      <c r="CH150" s="1175"/>
      <c r="CI150" s="1175"/>
      <c r="CJ150" s="1175"/>
      <c r="CK150" s="1232"/>
      <c r="CL150" s="1233"/>
      <c r="CM150" s="1234"/>
      <c r="CN150" s="1233"/>
      <c r="CO150" s="1235"/>
      <c r="CP150" s="1232"/>
      <c r="CQ150" s="1233"/>
      <c r="CR150" s="1234"/>
      <c r="CS150" s="1233"/>
      <c r="CT150" s="1235"/>
      <c r="CU150" s="1236"/>
      <c r="CV150" s="1237"/>
      <c r="CW150" s="1238"/>
      <c r="CX150" s="1239"/>
      <c r="CY150" s="1238"/>
      <c r="CZ150" s="1239"/>
      <c r="DA150" s="1238"/>
      <c r="DB150" s="1239"/>
      <c r="DC150" s="1240"/>
      <c r="DD150" s="1241"/>
      <c r="DE150" s="1241"/>
      <c r="DF150" s="1194"/>
      <c r="DG150" s="1194"/>
      <c r="DH150" s="1194"/>
      <c r="DI150" s="1194"/>
      <c r="DJ150" s="1194"/>
      <c r="DK150" s="1194"/>
      <c r="DL150" s="1217"/>
      <c r="DM150" s="1233"/>
      <c r="DN150" s="1242"/>
      <c r="DO150" s="1736"/>
      <c r="DP150" s="1243"/>
      <c r="DQ150" s="1242"/>
      <c r="DR150" s="1235"/>
      <c r="DS150" s="1244"/>
      <c r="DT150" s="1245"/>
      <c r="DU150" s="1246"/>
      <c r="DV150" s="1176"/>
      <c r="DW150" s="1247"/>
      <c r="DX150" s="1661"/>
      <c r="DY150" s="1247"/>
      <c r="DZ150" s="1211"/>
      <c r="EA150" s="1213"/>
      <c r="EB150" s="1827"/>
      <c r="EC150" s="1213"/>
      <c r="ED150" s="1248"/>
      <c r="EE150" s="1213"/>
      <c r="EF150" s="1249"/>
      <c r="EG150" s="1211"/>
      <c r="EH150" s="1213"/>
      <c r="EI150" s="1827"/>
      <c r="EJ150" s="1213"/>
      <c r="EK150" s="1248"/>
      <c r="EL150" s="1175"/>
      <c r="EM150" s="1232"/>
      <c r="EN150" s="1250"/>
      <c r="EO150" s="1176"/>
      <c r="EP150" s="1251"/>
      <c r="EQ150" s="1251"/>
      <c r="ER150" s="1251"/>
      <c r="ES150" s="1251"/>
      <c r="ET150" s="1251"/>
      <c r="EU150" s="1251"/>
      <c r="EV150" s="1251"/>
      <c r="EW150" s="1251"/>
      <c r="EX150" s="1251"/>
      <c r="EY150" s="1251"/>
      <c r="EZ150" s="1251"/>
      <c r="FA150" s="1251"/>
      <c r="FB150" s="1251"/>
      <c r="FC150" s="1251"/>
      <c r="FD150" s="1251"/>
      <c r="FE150" s="1251"/>
      <c r="FF150" s="1251"/>
      <c r="FG150" s="1251"/>
      <c r="FH150" s="1251"/>
      <c r="FI150" s="1251"/>
      <c r="FJ150" s="1251"/>
      <c r="FK150" s="1251"/>
      <c r="FL150" s="1251"/>
      <c r="FM150" s="1251"/>
      <c r="FN150" s="1675"/>
      <c r="FO150" s="1675"/>
      <c r="FP150" s="1675"/>
      <c r="FQ150" s="1675"/>
      <c r="FR150" s="1675"/>
    </row>
    <row r="151" spans="1:174" s="2006" customFormat="1" ht="11.25" customHeight="1" x14ac:dyDescent="0.2">
      <c r="A151" s="1656"/>
      <c r="B151" s="1185"/>
      <c r="C151" s="2008"/>
      <c r="D151" s="2008"/>
      <c r="E151" s="2009"/>
      <c r="F151" s="2008"/>
      <c r="G151" s="2010"/>
      <c r="H151" s="2011"/>
      <c r="I151" s="2010"/>
      <c r="J151" s="2011"/>
      <c r="K151" s="2009"/>
      <c r="L151" s="1188"/>
      <c r="M151" s="1658"/>
      <c r="N151" s="1189"/>
      <c r="O151" s="1659"/>
      <c r="P151" s="2009"/>
      <c r="Q151" s="1185"/>
      <c r="R151" s="2012"/>
      <c r="S151" s="1661"/>
      <c r="T151" s="2013"/>
      <c r="U151" s="2014"/>
      <c r="V151" s="1662"/>
      <c r="W151" s="1663"/>
      <c r="X151" s="2015"/>
      <c r="Y151" s="1193"/>
      <c r="Z151" s="1193"/>
      <c r="AA151" s="2016"/>
      <c r="AB151" s="2017"/>
      <c r="AC151" s="2018"/>
      <c r="AD151" s="2019"/>
      <c r="AE151" s="2020"/>
      <c r="AF151" s="2021"/>
      <c r="AG151" s="2021"/>
      <c r="AH151" s="1200"/>
      <c r="AI151" s="1201"/>
      <c r="AJ151" s="1202"/>
      <c r="AK151" s="1201"/>
      <c r="AL151" s="1203"/>
      <c r="AM151" s="2022"/>
      <c r="AN151" s="2023"/>
      <c r="AO151" s="2024"/>
      <c r="AP151" s="2025"/>
      <c r="AQ151" s="2026"/>
      <c r="AR151" s="2027"/>
      <c r="AS151" s="2028"/>
      <c r="AT151" s="2029"/>
      <c r="AU151" s="1850"/>
      <c r="AV151" s="2030"/>
      <c r="AW151" s="2031"/>
      <c r="AX151" s="1919"/>
      <c r="AY151" s="1920"/>
      <c r="AZ151" s="2032"/>
      <c r="BA151" s="1922"/>
      <c r="BB151" s="2033"/>
      <c r="BC151" s="1667"/>
      <c r="BD151" s="1668"/>
      <c r="BE151" s="1668"/>
      <c r="BF151" s="2034"/>
      <c r="BG151" s="1846"/>
      <c r="BH151" s="1847"/>
      <c r="BI151" s="1670"/>
      <c r="BJ151" s="1220"/>
      <c r="BK151" s="1671"/>
      <c r="BL151" s="1220"/>
      <c r="BM151" s="1672"/>
      <c r="BN151" s="2022"/>
      <c r="BO151" s="2035"/>
      <c r="BP151" s="1848"/>
      <c r="BQ151" s="1849"/>
      <c r="BR151" s="1219"/>
      <c r="BS151" s="1850"/>
      <c r="BT151" s="1930"/>
      <c r="BU151" s="1850"/>
      <c r="BV151" s="1919"/>
      <c r="BW151" s="2036"/>
      <c r="BX151" s="2037"/>
      <c r="BY151" s="1253"/>
      <c r="BZ151" s="2034"/>
      <c r="CA151" s="1228"/>
      <c r="CB151" s="2038"/>
      <c r="CC151" s="2039"/>
      <c r="CD151" s="2016"/>
      <c r="CE151" s="2008"/>
      <c r="CF151" s="2008"/>
      <c r="CG151" s="2040"/>
      <c r="CH151" s="2008"/>
      <c r="CI151" s="2008"/>
      <c r="CJ151" s="2008"/>
      <c r="CK151" s="2041"/>
      <c r="CL151" s="2042"/>
      <c r="CM151" s="2043"/>
      <c r="CN151" s="2042"/>
      <c r="CO151" s="2044"/>
      <c r="CP151" s="2041"/>
      <c r="CQ151" s="2042"/>
      <c r="CR151" s="2043"/>
      <c r="CS151" s="2042"/>
      <c r="CT151" s="2044"/>
      <c r="CU151" s="2045"/>
      <c r="CV151" s="2046"/>
      <c r="CW151" s="2047"/>
      <c r="CX151" s="2048"/>
      <c r="CY151" s="2047"/>
      <c r="CZ151" s="2048"/>
      <c r="DA151" s="2047"/>
      <c r="DB151" s="2048"/>
      <c r="DC151" s="2049"/>
      <c r="DD151" s="2050"/>
      <c r="DE151" s="2050"/>
      <c r="DF151" s="2016"/>
      <c r="DG151" s="2016"/>
      <c r="DH151" s="2016"/>
      <c r="DI151" s="2016"/>
      <c r="DJ151" s="2051"/>
      <c r="DK151" s="2016"/>
      <c r="DL151" s="2034"/>
      <c r="DM151" s="2042"/>
      <c r="DN151" s="2052"/>
      <c r="DO151" s="2053"/>
      <c r="DP151" s="2054"/>
      <c r="DQ151" s="2052"/>
      <c r="DR151" s="2044"/>
      <c r="DS151" s="2055"/>
      <c r="DT151" s="2056"/>
      <c r="DU151" s="2057"/>
      <c r="DV151" s="1920"/>
      <c r="DW151" s="2058"/>
      <c r="DX151" s="1661"/>
      <c r="DY151" s="2058"/>
      <c r="DZ151" s="2029"/>
      <c r="EA151" s="2059"/>
      <c r="EB151" s="2030"/>
      <c r="EC151" s="2059"/>
      <c r="ED151" s="2060"/>
      <c r="EE151" s="2059"/>
      <c r="EF151" s="2061"/>
      <c r="EG151" s="2029"/>
      <c r="EH151" s="2059"/>
      <c r="EI151" s="2030"/>
      <c r="EJ151" s="2059"/>
      <c r="EK151" s="2060"/>
      <c r="EL151" s="2008"/>
      <c r="EM151" s="2041"/>
      <c r="EN151" s="2062"/>
      <c r="EO151" s="1920"/>
      <c r="EP151" s="1867"/>
      <c r="EQ151" s="1867"/>
      <c r="ER151" s="1867"/>
      <c r="ES151" s="1867"/>
      <c r="ET151" s="1867"/>
      <c r="EU151" s="1867"/>
      <c r="EV151" s="1867"/>
      <c r="EW151" s="1867"/>
      <c r="EX151" s="1867"/>
      <c r="EY151" s="1867"/>
      <c r="EZ151" s="1867"/>
      <c r="FA151" s="1867"/>
      <c r="FB151" s="1867"/>
      <c r="FC151" s="1867"/>
      <c r="FD151" s="1867"/>
      <c r="FE151" s="1867"/>
      <c r="FF151" s="1867"/>
      <c r="FG151" s="1867"/>
      <c r="FH151" s="1867"/>
      <c r="FI151" s="1867"/>
      <c r="FJ151" s="1867"/>
      <c r="FK151" s="1867"/>
      <c r="FL151" s="1867"/>
      <c r="FM151" s="1867"/>
      <c r="FN151" s="1867"/>
      <c r="FO151" s="1867"/>
      <c r="FP151" s="1867"/>
      <c r="FQ151" s="1867"/>
      <c r="FR151" s="1867"/>
    </row>
    <row r="152" spans="1:174" s="1251" customFormat="1" ht="11.25" customHeight="1" x14ac:dyDescent="0.2">
      <c r="A152" s="1656"/>
      <c r="B152" s="1813"/>
      <c r="C152" s="1175"/>
      <c r="D152" s="1175"/>
      <c r="E152" s="1186"/>
      <c r="F152" s="1175"/>
      <c r="G152" s="1174"/>
      <c r="H152" s="1657"/>
      <c r="I152" s="1174"/>
      <c r="J152" s="1657"/>
      <c r="K152" s="1186"/>
      <c r="L152" s="1188"/>
      <c r="M152" s="1658"/>
      <c r="N152" s="1189"/>
      <c r="O152" s="1659"/>
      <c r="P152" s="1186"/>
      <c r="Q152" s="1185"/>
      <c r="R152" s="1660"/>
      <c r="S152" s="1661"/>
      <c r="T152" s="1190"/>
      <c r="U152" s="1191"/>
      <c r="V152" s="1662"/>
      <c r="W152" s="1663"/>
      <c r="X152" s="1664"/>
      <c r="Y152" s="1193"/>
      <c r="Z152" s="1193"/>
      <c r="AA152" s="1194"/>
      <c r="AB152" s="1665"/>
      <c r="AC152" s="1196"/>
      <c r="AD152" s="1197"/>
      <c r="AE152" s="1198"/>
      <c r="AF152" s="1199"/>
      <c r="AG152" s="1199"/>
      <c r="AH152" s="1200"/>
      <c r="AI152" s="1201"/>
      <c r="AJ152" s="1202"/>
      <c r="AK152" s="1201"/>
      <c r="AL152" s="1203"/>
      <c r="AM152" s="1204"/>
      <c r="AN152" s="1214"/>
      <c r="AO152" s="1206"/>
      <c r="AP152" s="1207"/>
      <c r="AQ152" s="1208"/>
      <c r="AR152" s="1209"/>
      <c r="AS152" s="1210"/>
      <c r="AT152" s="1211"/>
      <c r="AU152" s="1212"/>
      <c r="AV152" s="1213"/>
      <c r="AW152" s="1212"/>
      <c r="AX152" s="1778"/>
      <c r="AY152" s="1176"/>
      <c r="AZ152" s="1214"/>
      <c r="BA152" s="1215"/>
      <c r="BB152" s="1216"/>
      <c r="BC152" s="1667"/>
      <c r="BD152" s="1668"/>
      <c r="BE152" s="1668"/>
      <c r="BF152" s="1217"/>
      <c r="BG152" s="1218"/>
      <c r="BH152" s="1669"/>
      <c r="BI152" s="1670"/>
      <c r="BJ152" s="1220"/>
      <c r="BK152" s="1671"/>
      <c r="BL152" s="1220"/>
      <c r="BM152" s="1672"/>
      <c r="BN152" s="1204"/>
      <c r="BO152" s="1222"/>
      <c r="BP152" s="1223"/>
      <c r="BQ152" s="1224"/>
      <c r="BR152" s="1219"/>
      <c r="BS152" s="1212"/>
      <c r="BT152" s="1673"/>
      <c r="BU152" s="1212"/>
      <c r="BV152" s="1187"/>
      <c r="BW152" s="1226"/>
      <c r="BX152" s="1227"/>
      <c r="BY152" s="1253"/>
      <c r="BZ152" s="1217"/>
      <c r="CA152" s="1228"/>
      <c r="CB152" s="1229"/>
      <c r="CC152" s="1230"/>
      <c r="CD152" s="1194"/>
      <c r="CE152" s="1175"/>
      <c r="CF152" s="1175"/>
      <c r="CG152" s="1254"/>
      <c r="CH152" s="1175"/>
      <c r="CI152" s="1175"/>
      <c r="CJ152" s="1175"/>
      <c r="CK152" s="1232"/>
      <c r="CL152" s="1233"/>
      <c r="CM152" s="1234"/>
      <c r="CN152" s="1233"/>
      <c r="CO152" s="1235"/>
      <c r="CP152" s="1232"/>
      <c r="CQ152" s="1233"/>
      <c r="CR152" s="1234"/>
      <c r="CS152" s="1233"/>
      <c r="CT152" s="1235"/>
      <c r="CU152" s="1236"/>
      <c r="CV152" s="1237"/>
      <c r="CW152" s="1238"/>
      <c r="CX152" s="1239"/>
      <c r="CY152" s="1238"/>
      <c r="CZ152" s="1239"/>
      <c r="DA152" s="1238"/>
      <c r="DB152" s="1239"/>
      <c r="DC152" s="1240"/>
      <c r="DD152" s="1241"/>
      <c r="DE152" s="1241"/>
      <c r="DF152" s="1194"/>
      <c r="DG152" s="1194"/>
      <c r="DH152" s="1194"/>
      <c r="DI152" s="1194"/>
      <c r="DJ152" s="1194"/>
      <c r="DK152" s="1194"/>
      <c r="DL152" s="1217"/>
      <c r="DM152" s="1233"/>
      <c r="DN152" s="1242"/>
      <c r="DO152" s="1736"/>
      <c r="DP152" s="1243"/>
      <c r="DQ152" s="1242"/>
      <c r="DR152" s="1235"/>
      <c r="DS152" s="1244"/>
      <c r="DT152" s="1245"/>
      <c r="DU152" s="1246"/>
      <c r="DV152" s="1176"/>
      <c r="DW152" s="1247"/>
      <c r="DX152" s="1661"/>
      <c r="DY152" s="1247"/>
      <c r="DZ152" s="1211"/>
      <c r="EA152" s="1213"/>
      <c r="EB152" s="1213"/>
      <c r="EC152" s="1213"/>
      <c r="ED152" s="1248"/>
      <c r="EE152" s="1213"/>
      <c r="EF152" s="1249"/>
      <c r="EG152" s="1211"/>
      <c r="EH152" s="1213"/>
      <c r="EI152" s="1213"/>
      <c r="EJ152" s="1213"/>
      <c r="EK152" s="1248"/>
      <c r="EL152" s="1175"/>
      <c r="EM152" s="1232"/>
      <c r="EN152" s="1250"/>
      <c r="EO152" s="1176"/>
    </row>
    <row r="153" spans="1:174" s="1964" customFormat="1" ht="11.25" customHeight="1" x14ac:dyDescent="0.2">
      <c r="A153" s="1656"/>
      <c r="B153" s="1185"/>
      <c r="C153" s="1175"/>
      <c r="D153" s="1175"/>
      <c r="E153" s="1186"/>
      <c r="F153" s="1175"/>
      <c r="G153" s="1174"/>
      <c r="H153" s="1657"/>
      <c r="I153" s="1174"/>
      <c r="J153" s="1657"/>
      <c r="K153" s="1186"/>
      <c r="L153" s="1188"/>
      <c r="M153" s="1658"/>
      <c r="N153" s="1189"/>
      <c r="O153" s="1659"/>
      <c r="P153" s="1186"/>
      <c r="Q153" s="1185"/>
      <c r="R153" s="1660"/>
      <c r="S153" s="1661"/>
      <c r="T153" s="1190"/>
      <c r="U153" s="1191"/>
      <c r="V153" s="1662"/>
      <c r="W153" s="1663"/>
      <c r="X153" s="1664"/>
      <c r="Y153" s="1193"/>
      <c r="Z153" s="1193"/>
      <c r="AA153" s="1194"/>
      <c r="AB153" s="1665"/>
      <c r="AC153" s="1196"/>
      <c r="AD153" s="1197"/>
      <c r="AE153" s="1198"/>
      <c r="AF153" s="1199"/>
      <c r="AG153" s="1199"/>
      <c r="AH153" s="1200"/>
      <c r="AI153" s="1201"/>
      <c r="AJ153" s="1202"/>
      <c r="AK153" s="1201"/>
      <c r="AL153" s="1203"/>
      <c r="AM153" s="1204"/>
      <c r="AN153" s="1205"/>
      <c r="AO153" s="1206"/>
      <c r="AP153" s="1207"/>
      <c r="AQ153" s="1208"/>
      <c r="AR153" s="1209"/>
      <c r="AS153" s="1210"/>
      <c r="AT153" s="1211"/>
      <c r="AU153" s="1854"/>
      <c r="AV153" s="1827"/>
      <c r="AW153" s="1858"/>
      <c r="AX153" s="1187"/>
      <c r="AY153" s="1176"/>
      <c r="AZ153" s="1214"/>
      <c r="BA153" s="1215"/>
      <c r="BB153" s="1216"/>
      <c r="BC153" s="1667"/>
      <c r="BD153" s="1668"/>
      <c r="BE153" s="1668"/>
      <c r="BF153" s="1217"/>
      <c r="BG153" s="1218"/>
      <c r="BH153" s="1669"/>
      <c r="BI153" s="1670"/>
      <c r="BJ153" s="1220"/>
      <c r="BK153" s="1671"/>
      <c r="BL153" s="1220"/>
      <c r="BM153" s="1672"/>
      <c r="BN153" s="1204"/>
      <c r="BO153" s="1222"/>
      <c r="BP153" s="1223"/>
      <c r="BQ153" s="1224"/>
      <c r="BR153" s="1219"/>
      <c r="BS153" s="1212"/>
      <c r="BT153" s="1673"/>
      <c r="BU153" s="1212"/>
      <c r="BV153" s="1187"/>
      <c r="BW153" s="1226"/>
      <c r="BX153" s="1227"/>
      <c r="BY153" s="1253"/>
      <c r="BZ153" s="1217"/>
      <c r="CA153" s="1228"/>
      <c r="CB153" s="1229"/>
      <c r="CC153" s="1230"/>
      <c r="CD153" s="1194"/>
      <c r="CE153" s="1175"/>
      <c r="CF153" s="1175"/>
      <c r="CG153" s="1254"/>
      <c r="CH153" s="1175"/>
      <c r="CI153" s="1674"/>
      <c r="CJ153" s="1175"/>
      <c r="CK153" s="1232"/>
      <c r="CL153" s="1233"/>
      <c r="CM153" s="1234"/>
      <c r="CN153" s="1233"/>
      <c r="CO153" s="1235"/>
      <c r="CP153" s="1232"/>
      <c r="CQ153" s="1233"/>
      <c r="CR153" s="1234"/>
      <c r="CS153" s="1233"/>
      <c r="CT153" s="1235"/>
      <c r="CU153" s="1236"/>
      <c r="CV153" s="1237"/>
      <c r="CW153" s="1238"/>
      <c r="CX153" s="1239"/>
      <c r="CY153" s="1238"/>
      <c r="CZ153" s="1239"/>
      <c r="DA153" s="1238"/>
      <c r="DB153" s="1239"/>
      <c r="DC153" s="1240"/>
      <c r="DD153" s="1241"/>
      <c r="DE153" s="1824"/>
      <c r="DF153" s="1194"/>
      <c r="DG153" s="1194"/>
      <c r="DH153" s="1194"/>
      <c r="DI153" s="1194"/>
      <c r="DJ153" s="2004"/>
      <c r="DK153" s="1194"/>
      <c r="DL153" s="1217"/>
      <c r="DM153" s="1233"/>
      <c r="DN153" s="1242"/>
      <c r="DO153" s="1736"/>
      <c r="DP153" s="1243"/>
      <c r="DQ153" s="1242"/>
      <c r="DR153" s="1242"/>
      <c r="DS153" s="1825"/>
      <c r="DT153" s="1186"/>
      <c r="DU153" s="1246"/>
      <c r="DV153" s="1176"/>
      <c r="DW153" s="1247"/>
      <c r="DX153" s="1661"/>
      <c r="DY153" s="1247"/>
      <c r="DZ153" s="1826"/>
      <c r="EA153" s="1213"/>
      <c r="EB153" s="1213"/>
      <c r="EC153" s="1213"/>
      <c r="ED153" s="1248"/>
      <c r="EE153" s="1213"/>
      <c r="EF153" s="1249"/>
      <c r="EG153" s="1826"/>
      <c r="EH153" s="1213"/>
      <c r="EI153" s="1839"/>
      <c r="EJ153" s="1213"/>
      <c r="EK153" s="1248"/>
      <c r="EL153" s="1175"/>
      <c r="EM153" s="1232"/>
      <c r="EN153" s="1250"/>
      <c r="EO153" s="1176"/>
      <c r="EP153" s="1251"/>
      <c r="EQ153" s="1251"/>
      <c r="ER153" s="1251"/>
      <c r="ES153" s="1251"/>
      <c r="ET153" s="1251"/>
      <c r="EU153" s="1251"/>
      <c r="EV153" s="1251"/>
      <c r="EW153" s="1251"/>
      <c r="EX153" s="1251"/>
      <c r="EY153" s="1251"/>
      <c r="EZ153" s="1251"/>
      <c r="FA153" s="1251"/>
      <c r="FB153" s="1251"/>
      <c r="FC153" s="1251"/>
      <c r="FD153" s="1251"/>
      <c r="FE153" s="1251"/>
      <c r="FF153" s="1251"/>
      <c r="FG153" s="1251"/>
      <c r="FH153" s="1251"/>
      <c r="FI153" s="1251"/>
      <c r="FJ153" s="1251"/>
      <c r="FK153" s="1251"/>
      <c r="FL153" s="1251"/>
      <c r="FM153" s="1251"/>
      <c r="FN153" s="1251"/>
      <c r="FO153" s="1251"/>
      <c r="FP153" s="1251"/>
      <c r="FQ153" s="1251"/>
      <c r="FR153" s="1251"/>
    </row>
    <row r="154" spans="1:174" s="1977" customFormat="1" ht="11.25" customHeight="1" x14ac:dyDescent="0.2">
      <c r="A154" s="1656"/>
      <c r="B154" s="1813"/>
      <c r="C154" s="1175"/>
      <c r="D154" s="1676"/>
      <c r="E154" s="1677"/>
      <c r="F154" s="1676"/>
      <c r="G154" s="1678"/>
      <c r="H154" s="1679"/>
      <c r="I154" s="1678"/>
      <c r="J154" s="1679"/>
      <c r="K154" s="1677"/>
      <c r="L154" s="1188"/>
      <c r="M154" s="1658"/>
      <c r="N154" s="1189"/>
      <c r="O154" s="1659"/>
      <c r="P154" s="1677"/>
      <c r="Q154" s="1185"/>
      <c r="R154" s="1680"/>
      <c r="S154" s="1661"/>
      <c r="T154" s="1681"/>
      <c r="U154" s="1682"/>
      <c r="V154" s="1662"/>
      <c r="W154" s="1663"/>
      <c r="X154" s="1662"/>
      <c r="Y154" s="1193"/>
      <c r="Z154" s="1193"/>
      <c r="AA154" s="1658"/>
      <c r="AB154" s="1683"/>
      <c r="AC154" s="1684"/>
      <c r="AD154" s="1685"/>
      <c r="AE154" s="1686"/>
      <c r="AF154" s="1687"/>
      <c r="AG154" s="1687"/>
      <c r="AH154" s="1200"/>
      <c r="AI154" s="1201"/>
      <c r="AJ154" s="1202"/>
      <c r="AK154" s="1201"/>
      <c r="AL154" s="1203"/>
      <c r="AM154" s="1221"/>
      <c r="AN154" s="1688"/>
      <c r="AO154" s="1689"/>
      <c r="AP154" s="1690"/>
      <c r="AQ154" s="1691"/>
      <c r="AR154" s="1188"/>
      <c r="AS154" s="1692"/>
      <c r="AT154" s="1693"/>
      <c r="AU154" s="2063"/>
      <c r="AV154" s="1822"/>
      <c r="AW154" s="1844"/>
      <c r="AX154" s="1705"/>
      <c r="AY154" s="1725"/>
      <c r="AZ154" s="1696"/>
      <c r="BA154" s="1818"/>
      <c r="BB154" s="1697"/>
      <c r="BC154" s="1667"/>
      <c r="BD154" s="1668"/>
      <c r="BE154" s="1668"/>
      <c r="BF154" s="1698"/>
      <c r="BG154" s="1699"/>
      <c r="BH154" s="1700"/>
      <c r="BI154" s="1670"/>
      <c r="BJ154" s="1220"/>
      <c r="BK154" s="1671"/>
      <c r="BL154" s="1220"/>
      <c r="BM154" s="1672"/>
      <c r="BN154" s="1221"/>
      <c r="BO154" s="1701"/>
      <c r="BP154" s="1702"/>
      <c r="BQ154" s="1703"/>
      <c r="BR154" s="1219"/>
      <c r="BS154" s="1694"/>
      <c r="BT154" s="1704"/>
      <c r="BU154" s="1694"/>
      <c r="BV154" s="1705"/>
      <c r="BW154" s="1706"/>
      <c r="BX154" s="1707"/>
      <c r="BY154" s="1253"/>
      <c r="BZ154" s="1698"/>
      <c r="CA154" s="1228"/>
      <c r="CB154" s="1708"/>
      <c r="CC154" s="1709"/>
      <c r="CD154" s="1658"/>
      <c r="CE154" s="1676"/>
      <c r="CF154" s="1676"/>
      <c r="CG154" s="1710"/>
      <c r="CH154" s="1676"/>
      <c r="CI154" s="1662"/>
      <c r="CJ154" s="1676"/>
      <c r="CK154" s="1711"/>
      <c r="CL154" s="1179"/>
      <c r="CM154" s="1712"/>
      <c r="CN154" s="1179"/>
      <c r="CO154" s="1713"/>
      <c r="CP154" s="1711"/>
      <c r="CQ154" s="1179"/>
      <c r="CR154" s="1712"/>
      <c r="CS154" s="1179"/>
      <c r="CT154" s="1713"/>
      <c r="CU154" s="1714"/>
      <c r="CV154" s="1715"/>
      <c r="CW154" s="1192"/>
      <c r="CX154" s="1716"/>
      <c r="CY154" s="1192"/>
      <c r="CZ154" s="1716"/>
      <c r="DA154" s="1192"/>
      <c r="DB154" s="1716"/>
      <c r="DC154" s="1717"/>
      <c r="DD154" s="1718"/>
      <c r="DE154" s="1819"/>
      <c r="DF154" s="1658"/>
      <c r="DG154" s="1658"/>
      <c r="DH154" s="1658"/>
      <c r="DI154" s="1658"/>
      <c r="DJ154" s="1865"/>
      <c r="DK154" s="1658"/>
      <c r="DL154" s="1698"/>
      <c r="DM154" s="1179"/>
      <c r="DN154" s="1719"/>
      <c r="DO154" s="1720"/>
      <c r="DP154" s="1721"/>
      <c r="DQ154" s="1719"/>
      <c r="DR154" s="1719"/>
      <c r="DS154" s="1820"/>
      <c r="DT154" s="1677"/>
      <c r="DU154" s="1724"/>
      <c r="DV154" s="1725"/>
      <c r="DW154" s="1726"/>
      <c r="DX154" s="1661"/>
      <c r="DY154" s="1726"/>
      <c r="DZ154" s="2064"/>
      <c r="EA154" s="1695"/>
      <c r="EB154" s="1695"/>
      <c r="EC154" s="1695"/>
      <c r="ED154" s="1727"/>
      <c r="EE154" s="1695"/>
      <c r="EF154" s="1728"/>
      <c r="EG154" s="2064"/>
      <c r="EH154" s="1695"/>
      <c r="EI154" s="1882"/>
      <c r="EJ154" s="1695"/>
      <c r="EK154" s="1727"/>
      <c r="EL154" s="1676"/>
      <c r="EM154" s="1711"/>
      <c r="EN154" s="1729"/>
      <c r="EO154" s="1725"/>
      <c r="EP154" s="1675"/>
      <c r="EQ154" s="1675"/>
      <c r="ER154" s="1675"/>
      <c r="ES154" s="1675"/>
      <c r="ET154" s="1675"/>
      <c r="EU154" s="1675"/>
      <c r="EV154" s="1675"/>
      <c r="EW154" s="1675"/>
      <c r="EX154" s="1675"/>
      <c r="EY154" s="1675"/>
      <c r="EZ154" s="1675"/>
      <c r="FA154" s="1675"/>
      <c r="FB154" s="1675"/>
      <c r="FC154" s="1675"/>
      <c r="FD154" s="1675"/>
      <c r="FE154" s="1675"/>
      <c r="FF154" s="1675"/>
      <c r="FG154" s="1675"/>
      <c r="FH154" s="1675"/>
      <c r="FI154" s="1675"/>
      <c r="FJ154" s="1675"/>
      <c r="FK154" s="1675"/>
      <c r="FL154" s="1675"/>
      <c r="FM154" s="1675"/>
      <c r="FN154" s="1251"/>
      <c r="FO154" s="1251"/>
      <c r="FP154" s="1251"/>
      <c r="FQ154" s="1251"/>
      <c r="FR154" s="1251"/>
    </row>
    <row r="155" spans="1:174" s="1867" customFormat="1" ht="10.5" customHeight="1" x14ac:dyDescent="0.2">
      <c r="A155" s="1656"/>
      <c r="B155" s="1185"/>
      <c r="C155" s="1175"/>
      <c r="D155" s="1676"/>
      <c r="E155" s="1677"/>
      <c r="F155" s="1676"/>
      <c r="G155" s="1678"/>
      <c r="H155" s="1679"/>
      <c r="I155" s="1678"/>
      <c r="J155" s="1679"/>
      <c r="K155" s="1677"/>
      <c r="L155" s="1188"/>
      <c r="M155" s="1658"/>
      <c r="N155" s="1189"/>
      <c r="O155" s="1659"/>
      <c r="P155" s="1677"/>
      <c r="Q155" s="1185"/>
      <c r="R155" s="1680"/>
      <c r="S155" s="1661"/>
      <c r="T155" s="1681"/>
      <c r="U155" s="1682"/>
      <c r="V155" s="1662"/>
      <c r="W155" s="1663"/>
      <c r="X155" s="1662"/>
      <c r="Y155" s="1193"/>
      <c r="Z155" s="1193"/>
      <c r="AA155" s="1658"/>
      <c r="AB155" s="1862"/>
      <c r="AC155" s="1684"/>
      <c r="AD155" s="1685"/>
      <c r="AE155" s="1686"/>
      <c r="AF155" s="1687"/>
      <c r="AG155" s="1687"/>
      <c r="AH155" s="1200"/>
      <c r="AI155" s="1201"/>
      <c r="AJ155" s="1202"/>
      <c r="AK155" s="1201"/>
      <c r="AL155" s="1203"/>
      <c r="AM155" s="1221"/>
      <c r="AN155" s="1688"/>
      <c r="AO155" s="1689"/>
      <c r="AP155" s="1690"/>
      <c r="AQ155" s="1691"/>
      <c r="AR155" s="1188"/>
      <c r="AS155" s="1692"/>
      <c r="AT155" s="1693"/>
      <c r="AU155" s="1694"/>
      <c r="AV155" s="1695"/>
      <c r="AW155" s="1694"/>
      <c r="AX155" s="1705"/>
      <c r="AY155" s="1725"/>
      <c r="AZ155" s="1696"/>
      <c r="BA155" s="1818"/>
      <c r="BB155" s="1697"/>
      <c r="BC155" s="1667"/>
      <c r="BD155" s="1668"/>
      <c r="BE155" s="1668"/>
      <c r="BF155" s="1698"/>
      <c r="BG155" s="1699"/>
      <c r="BH155" s="1700"/>
      <c r="BI155" s="1670"/>
      <c r="BJ155" s="1220"/>
      <c r="BK155" s="1671"/>
      <c r="BL155" s="1220"/>
      <c r="BM155" s="1672"/>
      <c r="BN155" s="1221"/>
      <c r="BO155" s="1701"/>
      <c r="BP155" s="1702"/>
      <c r="BQ155" s="1703"/>
      <c r="BR155" s="1219"/>
      <c r="BS155" s="1694"/>
      <c r="BT155" s="1704"/>
      <c r="BU155" s="1694"/>
      <c r="BV155" s="1705"/>
      <c r="BW155" s="1706"/>
      <c r="BX155" s="1707"/>
      <c r="BY155" s="1253"/>
      <c r="BZ155" s="1698"/>
      <c r="CA155" s="1228"/>
      <c r="CB155" s="1708"/>
      <c r="CC155" s="1709"/>
      <c r="CD155" s="1658"/>
      <c r="CE155" s="1676"/>
      <c r="CF155" s="1676"/>
      <c r="CG155" s="1710"/>
      <c r="CH155" s="1676"/>
      <c r="CI155" s="1676"/>
      <c r="CJ155" s="1676"/>
      <c r="CK155" s="1711"/>
      <c r="CL155" s="1179"/>
      <c r="CM155" s="1712"/>
      <c r="CN155" s="1179"/>
      <c r="CO155" s="1713"/>
      <c r="CP155" s="1711"/>
      <c r="CQ155" s="1179"/>
      <c r="CR155" s="1712"/>
      <c r="CS155" s="1179"/>
      <c r="CT155" s="1713"/>
      <c r="CU155" s="1714"/>
      <c r="CV155" s="1715"/>
      <c r="CW155" s="1192"/>
      <c r="CX155" s="1716"/>
      <c r="CY155" s="1192"/>
      <c r="CZ155" s="1716"/>
      <c r="DA155" s="1192"/>
      <c r="DB155" s="1716"/>
      <c r="DC155" s="1717"/>
      <c r="DD155" s="1718"/>
      <c r="DE155" s="1718"/>
      <c r="DF155" s="1658"/>
      <c r="DG155" s="1658"/>
      <c r="DH155" s="1658"/>
      <c r="DI155" s="1658"/>
      <c r="DJ155" s="1658"/>
      <c r="DK155" s="1658"/>
      <c r="DL155" s="1698"/>
      <c r="DM155" s="1179"/>
      <c r="DN155" s="1719"/>
      <c r="DO155" s="1720"/>
      <c r="DP155" s="1721"/>
      <c r="DQ155" s="1719"/>
      <c r="DR155" s="1713"/>
      <c r="DS155" s="1722"/>
      <c r="DT155" s="1723"/>
      <c r="DU155" s="1724"/>
      <c r="DV155" s="1725"/>
      <c r="DW155" s="1726"/>
      <c r="DX155" s="1661"/>
      <c r="DY155" s="1726"/>
      <c r="DZ155" s="1693"/>
      <c r="EA155" s="1695"/>
      <c r="EB155" s="1695"/>
      <c r="EC155" s="1695"/>
      <c r="ED155" s="1727"/>
      <c r="EE155" s="1695"/>
      <c r="EF155" s="1728"/>
      <c r="EG155" s="1693"/>
      <c r="EH155" s="1695"/>
      <c r="EI155" s="1695"/>
      <c r="EJ155" s="1695"/>
      <c r="EK155" s="1727"/>
      <c r="EL155" s="1676"/>
      <c r="EM155" s="1711"/>
      <c r="EN155" s="1729"/>
      <c r="EO155" s="1725"/>
      <c r="EP155" s="1675"/>
      <c r="EQ155" s="1675"/>
      <c r="ER155" s="1675"/>
      <c r="ES155" s="1675"/>
      <c r="ET155" s="1675"/>
      <c r="EU155" s="1675"/>
      <c r="EV155" s="1675"/>
      <c r="EW155" s="1675"/>
      <c r="EX155" s="1675"/>
      <c r="EY155" s="1675"/>
      <c r="EZ155" s="1675"/>
      <c r="FA155" s="1675"/>
      <c r="FB155" s="1675"/>
      <c r="FC155" s="1675"/>
      <c r="FD155" s="1675"/>
      <c r="FE155" s="1675"/>
      <c r="FF155" s="1675"/>
      <c r="FG155" s="1675"/>
      <c r="FH155" s="1675"/>
      <c r="FI155" s="1675"/>
      <c r="FJ155" s="1675"/>
      <c r="FK155" s="1675"/>
      <c r="FL155" s="1675"/>
      <c r="FM155" s="1675"/>
      <c r="FN155" s="1730"/>
      <c r="FO155" s="1730"/>
      <c r="FP155" s="1730"/>
      <c r="FQ155" s="1730"/>
      <c r="FR155" s="1730"/>
    </row>
    <row r="156" spans="1:174" s="1675" customFormat="1" ht="11.25" customHeight="1" x14ac:dyDescent="0.2">
      <c r="A156" s="1656"/>
      <c r="B156" s="1185"/>
      <c r="C156" s="1676"/>
      <c r="D156" s="1676"/>
      <c r="E156" s="1677"/>
      <c r="F156" s="1676"/>
      <c r="G156" s="1678"/>
      <c r="H156" s="1679"/>
      <c r="I156" s="1678"/>
      <c r="J156" s="1679"/>
      <c r="K156" s="1677"/>
      <c r="L156" s="1188"/>
      <c r="M156" s="1658"/>
      <c r="N156" s="1189"/>
      <c r="O156" s="1659"/>
      <c r="P156" s="1677"/>
      <c r="Q156" s="1185"/>
      <c r="R156" s="1680"/>
      <c r="S156" s="1661"/>
      <c r="T156" s="1681"/>
      <c r="U156" s="1682"/>
      <c r="V156" s="1662"/>
      <c r="W156" s="1663"/>
      <c r="X156" s="1662"/>
      <c r="Y156" s="1193"/>
      <c r="Z156" s="1193"/>
      <c r="AA156" s="1658"/>
      <c r="AB156" s="1862"/>
      <c r="AC156" s="1684"/>
      <c r="AD156" s="1685"/>
      <c r="AE156" s="1686"/>
      <c r="AF156" s="1687"/>
      <c r="AG156" s="1687"/>
      <c r="AH156" s="1200"/>
      <c r="AI156" s="1201"/>
      <c r="AJ156" s="1202"/>
      <c r="AK156" s="1201"/>
      <c r="AL156" s="1203"/>
      <c r="AM156" s="1221"/>
      <c r="AN156" s="1688"/>
      <c r="AO156" s="1689"/>
      <c r="AP156" s="1690"/>
      <c r="AQ156" s="1691"/>
      <c r="AR156" s="1188"/>
      <c r="AS156" s="1692"/>
      <c r="AT156" s="1693"/>
      <c r="AU156" s="1694"/>
      <c r="AV156" s="1695"/>
      <c r="AW156" s="1694"/>
      <c r="AX156" s="1705"/>
      <c r="AY156" s="1725"/>
      <c r="AZ156" s="1696"/>
      <c r="BA156" s="1818"/>
      <c r="BB156" s="1697"/>
      <c r="BC156" s="1667"/>
      <c r="BD156" s="1668"/>
      <c r="BE156" s="1668"/>
      <c r="BF156" s="1698"/>
      <c r="BG156" s="1702"/>
      <c r="BH156" s="1700"/>
      <c r="BI156" s="1670"/>
      <c r="BJ156" s="1220"/>
      <c r="BK156" s="1671"/>
      <c r="BL156" s="1220"/>
      <c r="BM156" s="1672"/>
      <c r="BN156" s="1221"/>
      <c r="BO156" s="1701"/>
      <c r="BP156" s="1702"/>
      <c r="BQ156" s="1703"/>
      <c r="BR156" s="1219"/>
      <c r="BS156" s="1694"/>
      <c r="BT156" s="1704"/>
      <c r="BU156" s="1694"/>
      <c r="BV156" s="1705"/>
      <c r="BW156" s="1706"/>
      <c r="BX156" s="1707"/>
      <c r="BY156" s="1253"/>
      <c r="BZ156" s="1698"/>
      <c r="CA156" s="1228"/>
      <c r="CB156" s="1708"/>
      <c r="CC156" s="1709"/>
      <c r="CD156" s="1658"/>
      <c r="CE156" s="1676"/>
      <c r="CF156" s="1676"/>
      <c r="CG156" s="1710"/>
      <c r="CH156" s="1676"/>
      <c r="CI156" s="1676"/>
      <c r="CJ156" s="1676"/>
      <c r="CK156" s="1711"/>
      <c r="CL156" s="1179"/>
      <c r="CM156" s="1712"/>
      <c r="CN156" s="1179"/>
      <c r="CO156" s="1713"/>
      <c r="CP156" s="1711"/>
      <c r="CQ156" s="1179"/>
      <c r="CR156" s="1712"/>
      <c r="CS156" s="1179"/>
      <c r="CT156" s="1713"/>
      <c r="CU156" s="1714"/>
      <c r="CV156" s="1715"/>
      <c r="CW156" s="1192"/>
      <c r="CX156" s="1716"/>
      <c r="CY156" s="1192"/>
      <c r="CZ156" s="1716"/>
      <c r="DA156" s="1192"/>
      <c r="DB156" s="1716"/>
      <c r="DC156" s="1717"/>
      <c r="DD156" s="1718"/>
      <c r="DE156" s="1718"/>
      <c r="DF156" s="1658"/>
      <c r="DG156" s="1658"/>
      <c r="DH156" s="1658"/>
      <c r="DI156" s="1658"/>
      <c r="DJ156" s="1658"/>
      <c r="DK156" s="1658"/>
      <c r="DL156" s="1698"/>
      <c r="DM156" s="1179"/>
      <c r="DN156" s="1719"/>
      <c r="DO156" s="1720"/>
      <c r="DP156" s="1721"/>
      <c r="DQ156" s="1719"/>
      <c r="DR156" s="1713"/>
      <c r="DS156" s="1722"/>
      <c r="DT156" s="1723"/>
      <c r="DU156" s="1724"/>
      <c r="DV156" s="1725"/>
      <c r="DW156" s="1726"/>
      <c r="DX156" s="1661"/>
      <c r="DY156" s="1726"/>
      <c r="DZ156" s="1693"/>
      <c r="EA156" s="1695"/>
      <c r="EB156" s="1695"/>
      <c r="EC156" s="1695"/>
      <c r="ED156" s="1727"/>
      <c r="EE156" s="1695"/>
      <c r="EF156" s="1728"/>
      <c r="EG156" s="1693"/>
      <c r="EH156" s="1695"/>
      <c r="EI156" s="1695"/>
      <c r="EJ156" s="1695"/>
      <c r="EK156" s="1727"/>
      <c r="EL156" s="1676"/>
      <c r="EM156" s="1711"/>
      <c r="EN156" s="1729"/>
      <c r="EO156" s="1725"/>
      <c r="FN156" s="1977"/>
      <c r="FO156" s="1977"/>
      <c r="FP156" s="1977"/>
      <c r="FQ156" s="1977"/>
      <c r="FR156" s="1977"/>
    </row>
    <row r="157" spans="1:174" s="2106" customFormat="1" x14ac:dyDescent="0.2">
      <c r="A157" s="1656"/>
      <c r="B157" s="1813"/>
      <c r="C157" s="1175"/>
      <c r="D157" s="1175"/>
      <c r="E157" s="1186"/>
      <c r="F157" s="1175"/>
      <c r="G157" s="1174"/>
      <c r="H157" s="1657"/>
      <c r="I157" s="1174"/>
      <c r="J157" s="1657"/>
      <c r="K157" s="1186"/>
      <c r="L157" s="1188"/>
      <c r="M157" s="1658"/>
      <c r="N157" s="1189"/>
      <c r="O157" s="1659"/>
      <c r="P157" s="1186"/>
      <c r="Q157" s="1185"/>
      <c r="R157" s="1845"/>
      <c r="S157" s="1845"/>
      <c r="T157" s="2065"/>
      <c r="U157" s="2066"/>
      <c r="V157" s="1710"/>
      <c r="W157" s="2067"/>
      <c r="X157" s="1254"/>
      <c r="Y157" s="2068"/>
      <c r="Z157" s="2068"/>
      <c r="AA157" s="1980"/>
      <c r="AB157" s="1814"/>
      <c r="AC157" s="2069"/>
      <c r="AD157" s="2069"/>
      <c r="AE157" s="2070"/>
      <c r="AF157" s="2070"/>
      <c r="AG157" s="2070"/>
      <c r="AH157" s="2071"/>
      <c r="AI157" s="2072"/>
      <c r="AJ157" s="2071"/>
      <c r="AK157" s="2072"/>
      <c r="AL157" s="2072"/>
      <c r="AM157" s="2073"/>
      <c r="AN157" s="2074"/>
      <c r="AO157" s="2075"/>
      <c r="AP157" s="2076"/>
      <c r="AQ157" s="2077"/>
      <c r="AR157" s="2076"/>
      <c r="AS157" s="2076"/>
      <c r="AT157" s="1860"/>
      <c r="AU157" s="1858"/>
      <c r="AV157" s="1827"/>
      <c r="AW157" s="1858"/>
      <c r="AX157" s="2078"/>
      <c r="AY157" s="1845"/>
      <c r="AZ157" s="1979"/>
      <c r="BA157" s="2079"/>
      <c r="BB157" s="2080"/>
      <c r="BC157" s="2081"/>
      <c r="BD157" s="2082"/>
      <c r="BE157" s="2082"/>
      <c r="BF157" s="2083"/>
      <c r="BG157" s="2084"/>
      <c r="BH157" s="2085"/>
      <c r="BI157" s="2086"/>
      <c r="BJ157" s="2087"/>
      <c r="BK157" s="2088"/>
      <c r="BL157" s="2087"/>
      <c r="BM157" s="1845"/>
      <c r="BN157" s="2073"/>
      <c r="BO157" s="2089"/>
      <c r="BP157" s="2084"/>
      <c r="BQ157" s="2074"/>
      <c r="BR157" s="2086"/>
      <c r="BS157" s="1858"/>
      <c r="BT157" s="2090"/>
      <c r="BU157" s="1858"/>
      <c r="BV157" s="1845"/>
      <c r="BW157" s="2091"/>
      <c r="BX157" s="2092"/>
      <c r="BY157" s="2093"/>
      <c r="BZ157" s="2083"/>
      <c r="CA157" s="2094"/>
      <c r="CB157" s="2095"/>
      <c r="CC157" s="1980"/>
      <c r="CD157" s="1980"/>
      <c r="CE157" s="1973"/>
      <c r="CF157" s="1973"/>
      <c r="CG157" s="1254"/>
      <c r="CH157" s="1973"/>
      <c r="CI157" s="2096"/>
      <c r="CJ157" s="1973"/>
      <c r="CK157" s="1972"/>
      <c r="CL157" s="1972"/>
      <c r="CM157" s="1973"/>
      <c r="CN157" s="1972"/>
      <c r="CO157" s="1972"/>
      <c r="CP157" s="1972"/>
      <c r="CQ157" s="1972"/>
      <c r="CR157" s="1973"/>
      <c r="CS157" s="1972"/>
      <c r="CT157" s="1972"/>
      <c r="CU157" s="2097"/>
      <c r="CV157" s="2098"/>
      <c r="CW157" s="2099"/>
      <c r="CX157" s="2099"/>
      <c r="CY157" s="2099"/>
      <c r="CZ157" s="2099"/>
      <c r="DA157" s="2099"/>
      <c r="DB157" s="2099"/>
      <c r="DC157" s="2100"/>
      <c r="DD157" s="2101"/>
      <c r="DE157" s="2102"/>
      <c r="DF157" s="1980"/>
      <c r="DG157" s="1980"/>
      <c r="DH157" s="1980"/>
      <c r="DI157" s="1980"/>
      <c r="DJ157" s="1980"/>
      <c r="DK157" s="1980"/>
      <c r="DL157" s="2083"/>
      <c r="DM157" s="1972"/>
      <c r="DN157" s="1973"/>
      <c r="DO157" s="1973"/>
      <c r="DP157" s="1973"/>
      <c r="DQ157" s="1973"/>
      <c r="DR157" s="1972"/>
      <c r="DS157" s="1972"/>
      <c r="DT157" s="2069"/>
      <c r="DU157" s="2103"/>
      <c r="DV157" s="1845"/>
      <c r="DW157" s="1845"/>
      <c r="DX157" s="2104"/>
      <c r="DY157" s="1845"/>
      <c r="DZ157" s="1860"/>
      <c r="EA157" s="1827"/>
      <c r="EB157" s="1827"/>
      <c r="EC157" s="1827"/>
      <c r="ED157" s="2105"/>
      <c r="EE157" s="1827"/>
      <c r="EF157" s="1973"/>
      <c r="EG157" s="1860"/>
      <c r="EH157" s="1827"/>
      <c r="EI157" s="1827"/>
      <c r="EJ157" s="1827"/>
      <c r="EK157" s="2105"/>
      <c r="EL157" s="1973"/>
      <c r="EM157" s="1972"/>
      <c r="EN157" s="2100"/>
      <c r="EO157" s="1845"/>
      <c r="EP157" s="2099"/>
      <c r="EQ157" s="2099"/>
      <c r="ER157" s="2099"/>
      <c r="ES157" s="2099"/>
      <c r="ET157" s="2099"/>
      <c r="EU157" s="2099"/>
      <c r="EV157" s="2099"/>
      <c r="EW157" s="2099"/>
      <c r="EX157" s="2099"/>
      <c r="EY157" s="2099"/>
      <c r="EZ157" s="2099"/>
      <c r="FA157" s="2099"/>
      <c r="FB157" s="2099"/>
      <c r="FC157" s="2099"/>
      <c r="FD157" s="2099"/>
      <c r="FE157" s="2099"/>
      <c r="FF157" s="2099"/>
      <c r="FG157" s="2099"/>
      <c r="FH157" s="2099"/>
      <c r="FI157" s="2099"/>
      <c r="FJ157" s="2099"/>
      <c r="FK157" s="2099"/>
      <c r="FL157" s="2099"/>
      <c r="FM157" s="2099"/>
      <c r="FN157" s="2096"/>
      <c r="FO157" s="2096"/>
      <c r="FP157" s="2096"/>
      <c r="FQ157" s="2096"/>
      <c r="FR157" s="2096"/>
    </row>
    <row r="158" spans="1:174" s="1251" customFormat="1" ht="11.25" customHeight="1" x14ac:dyDescent="0.2">
      <c r="A158" s="1656"/>
      <c r="B158" s="1813"/>
      <c r="C158" s="1175"/>
      <c r="D158" s="1175"/>
      <c r="E158" s="1186"/>
      <c r="F158" s="1175"/>
      <c r="G158" s="1174"/>
      <c r="H158" s="1657"/>
      <c r="I158" s="1174"/>
      <c r="J158" s="1657"/>
      <c r="K158" s="1186"/>
      <c r="L158" s="1188"/>
      <c r="M158" s="1658"/>
      <c r="N158" s="1189"/>
      <c r="O158" s="1659"/>
      <c r="P158" s="1186"/>
      <c r="Q158" s="1185"/>
      <c r="R158" s="1660"/>
      <c r="S158" s="1661"/>
      <c r="T158" s="1190"/>
      <c r="U158" s="1191"/>
      <c r="V158" s="1662"/>
      <c r="W158" s="1663"/>
      <c r="X158" s="1664"/>
      <c r="Y158" s="1193"/>
      <c r="Z158" s="1193"/>
      <c r="AA158" s="1194"/>
      <c r="AB158" s="1665"/>
      <c r="AC158" s="1196"/>
      <c r="AD158" s="1197"/>
      <c r="AE158" s="1198"/>
      <c r="AF158" s="1199"/>
      <c r="AG158" s="1199"/>
      <c r="AH158" s="1199"/>
      <c r="AI158" s="1201"/>
      <c r="AJ158" s="1199"/>
      <c r="AK158" s="1201"/>
      <c r="AL158" s="2107"/>
      <c r="AM158" s="1204"/>
      <c r="AN158" s="1205"/>
      <c r="AO158" s="1206"/>
      <c r="AP158" s="1207"/>
      <c r="AQ158" s="1208"/>
      <c r="AR158" s="1209"/>
      <c r="AS158" s="1210"/>
      <c r="AT158" s="1211"/>
      <c r="AU158" s="1212"/>
      <c r="AV158" s="1213"/>
      <c r="AW158" s="1212"/>
      <c r="AX158" s="1187"/>
      <c r="AY158" s="1176"/>
      <c r="AZ158" s="1666"/>
      <c r="BA158" s="1215"/>
      <c r="BB158" s="1216"/>
      <c r="BC158" s="1667"/>
      <c r="BD158" s="1668"/>
      <c r="BE158" s="1668"/>
      <c r="BF158" s="1217"/>
      <c r="BG158" s="1218"/>
      <c r="BH158" s="1669"/>
      <c r="BI158" s="1219"/>
      <c r="BJ158" s="1220"/>
      <c r="BK158" s="2108"/>
      <c r="BL158" s="1220"/>
      <c r="BM158" s="1187"/>
      <c r="BN158" s="1204"/>
      <c r="BO158" s="1222"/>
      <c r="BP158" s="1223"/>
      <c r="BQ158" s="1224"/>
      <c r="BR158" s="1219"/>
      <c r="BS158" s="1212"/>
      <c r="BT158" s="2109"/>
      <c r="BU158" s="1212"/>
      <c r="BV158" s="1187"/>
      <c r="BW158" s="1226"/>
      <c r="BX158" s="1227"/>
      <c r="BY158" s="1253"/>
      <c r="BZ158" s="1217"/>
      <c r="CA158" s="1228"/>
      <c r="CB158" s="1229"/>
      <c r="CC158" s="1230"/>
      <c r="CD158" s="1194"/>
      <c r="CE158" s="1175"/>
      <c r="CF158" s="1175"/>
      <c r="CG158" s="1254"/>
      <c r="CH158" s="1175"/>
      <c r="CI158" s="1231"/>
      <c r="CJ158" s="1175"/>
      <c r="CK158" s="1232"/>
      <c r="CL158" s="1233"/>
      <c r="CM158" s="1234"/>
      <c r="CN158" s="1233"/>
      <c r="CO158" s="1235"/>
      <c r="CP158" s="1232"/>
      <c r="CQ158" s="1233"/>
      <c r="CR158" s="1234"/>
      <c r="CS158" s="1233"/>
      <c r="CT158" s="1235"/>
      <c r="CU158" s="1236"/>
      <c r="CV158" s="1237"/>
      <c r="CW158" s="1238"/>
      <c r="CX158" s="1239"/>
      <c r="CY158" s="1238"/>
      <c r="CZ158" s="1239"/>
      <c r="DA158" s="1238"/>
      <c r="DB158" s="1239"/>
      <c r="DC158" s="1240"/>
      <c r="DD158" s="1241"/>
      <c r="DE158" s="1241"/>
      <c r="DF158" s="1194"/>
      <c r="DG158" s="1194"/>
      <c r="DH158" s="1194"/>
      <c r="DI158" s="1194"/>
      <c r="DJ158" s="1194"/>
      <c r="DK158" s="1194"/>
      <c r="DL158" s="1217"/>
      <c r="DM158" s="1233"/>
      <c r="DN158" s="1242"/>
      <c r="DO158" s="1175"/>
      <c r="DP158" s="1243"/>
      <c r="DQ158" s="1242"/>
      <c r="DR158" s="1235"/>
      <c r="DS158" s="1244"/>
      <c r="DT158" s="1245"/>
      <c r="DU158" s="1246"/>
      <c r="DV158" s="1176"/>
      <c r="DW158" s="1247"/>
      <c r="DX158" s="1661"/>
      <c r="DY158" s="1247"/>
      <c r="DZ158" s="1211"/>
      <c r="EA158" s="1213"/>
      <c r="EB158" s="1827"/>
      <c r="EC158" s="1213"/>
      <c r="ED158" s="1248"/>
      <c r="EE158" s="1213"/>
      <c r="EF158" s="1249"/>
      <c r="EG158" s="1211"/>
      <c r="EH158" s="1213"/>
      <c r="EI158" s="1827"/>
      <c r="EJ158" s="1213"/>
      <c r="EK158" s="1248"/>
      <c r="EL158" s="1175"/>
      <c r="EM158" s="1232"/>
      <c r="EN158" s="1250"/>
      <c r="EO158" s="1176"/>
    </row>
    <row r="159" spans="1:174" s="1730" customFormat="1" ht="11.25" customHeight="1" x14ac:dyDescent="0.2">
      <c r="A159" s="1656"/>
      <c r="B159" s="1813"/>
      <c r="C159" s="1175"/>
      <c r="D159" s="1175"/>
      <c r="E159" s="1186"/>
      <c r="F159" s="1175"/>
      <c r="G159" s="1174"/>
      <c r="H159" s="1657"/>
      <c r="I159" s="1174"/>
      <c r="J159" s="1657"/>
      <c r="K159" s="1186"/>
      <c r="L159" s="1188"/>
      <c r="M159" s="1658"/>
      <c r="N159" s="1189"/>
      <c r="O159" s="1659"/>
      <c r="P159" s="1186"/>
      <c r="Q159" s="1185"/>
      <c r="R159" s="1186"/>
      <c r="S159" s="1857"/>
      <c r="T159" s="1190"/>
      <c r="U159" s="1191"/>
      <c r="V159" s="1662"/>
      <c r="W159" s="1663"/>
      <c r="X159" s="1664"/>
      <c r="Y159" s="1193"/>
      <c r="Z159" s="1193"/>
      <c r="AA159" s="1194"/>
      <c r="AB159" s="1665"/>
      <c r="AC159" s="1196"/>
      <c r="AD159" s="1197"/>
      <c r="AE159" s="1198"/>
      <c r="AF159" s="1199"/>
      <c r="AG159" s="1199"/>
      <c r="AH159" s="1211"/>
      <c r="AI159" s="1858"/>
      <c r="AJ159" s="1213"/>
      <c r="AK159" s="1212"/>
      <c r="AL159" s="1187"/>
      <c r="AM159" s="1204"/>
      <c r="AN159" s="1205"/>
      <c r="AO159" s="1852"/>
      <c r="AP159" s="1853"/>
      <c r="AQ159" s="1208"/>
      <c r="AR159" s="1209"/>
      <c r="AS159" s="1210"/>
      <c r="AT159" s="1211"/>
      <c r="AU159" s="1858"/>
      <c r="AV159" s="1213"/>
      <c r="AW159" s="1212"/>
      <c r="AX159" s="1187"/>
      <c r="AY159" s="1176"/>
      <c r="AZ159" s="1214"/>
      <c r="BA159" s="1215"/>
      <c r="BB159" s="1216"/>
      <c r="BC159" s="1667"/>
      <c r="BD159" s="1668"/>
      <c r="BE159" s="1668"/>
      <c r="BF159" s="1217"/>
      <c r="BG159" s="1218"/>
      <c r="BH159" s="1669"/>
      <c r="BI159" s="1219"/>
      <c r="BJ159" s="1220"/>
      <c r="BK159" s="2108"/>
      <c r="BL159" s="1220"/>
      <c r="BM159" s="2110"/>
      <c r="BN159" s="1204"/>
      <c r="BO159" s="1222"/>
      <c r="BP159" s="1223"/>
      <c r="BQ159" s="1224"/>
      <c r="BR159" s="1219"/>
      <c r="BS159" s="1212"/>
      <c r="BT159" s="2109"/>
      <c r="BU159" s="1212"/>
      <c r="BV159" s="1187"/>
      <c r="BW159" s="1226"/>
      <c r="BX159" s="1227"/>
      <c r="BY159" s="1253"/>
      <c r="BZ159" s="1217"/>
      <c r="CA159" s="1228"/>
      <c r="CB159" s="1229"/>
      <c r="CC159" s="1230"/>
      <c r="CD159" s="1194"/>
      <c r="CE159" s="1175"/>
      <c r="CF159" s="1175"/>
      <c r="CG159" s="1254"/>
      <c r="CH159" s="1175"/>
      <c r="CI159" s="1231"/>
      <c r="CJ159" s="1175"/>
      <c r="CK159" s="1232"/>
      <c r="CL159" s="1233"/>
      <c r="CM159" s="1234"/>
      <c r="CN159" s="1233"/>
      <c r="CO159" s="1235"/>
      <c r="CP159" s="1232"/>
      <c r="CQ159" s="1233"/>
      <c r="CR159" s="1234"/>
      <c r="CS159" s="1233"/>
      <c r="CT159" s="1235"/>
      <c r="CU159" s="1236"/>
      <c r="CV159" s="1237"/>
      <c r="CW159" s="1238"/>
      <c r="CX159" s="1239"/>
      <c r="CY159" s="1238"/>
      <c r="CZ159" s="1239"/>
      <c r="DA159" s="1238"/>
      <c r="DB159" s="1239"/>
      <c r="DC159" s="1240"/>
      <c r="DD159" s="1241"/>
      <c r="DE159" s="1241"/>
      <c r="DF159" s="1194"/>
      <c r="DG159" s="1194"/>
      <c r="DH159" s="1194"/>
      <c r="DI159" s="1194"/>
      <c r="DJ159" s="1194"/>
      <c r="DK159" s="1194"/>
      <c r="DL159" s="1217"/>
      <c r="DM159" s="1233"/>
      <c r="DN159" s="1242"/>
      <c r="DO159" s="1175"/>
      <c r="DP159" s="1243"/>
      <c r="DQ159" s="1242"/>
      <c r="DR159" s="1235"/>
      <c r="DS159" s="1244"/>
      <c r="DT159" s="1245"/>
      <c r="DU159" s="1246"/>
      <c r="DV159" s="1176"/>
      <c r="DW159" s="1247"/>
      <c r="DX159" s="1661"/>
      <c r="DY159" s="1247"/>
      <c r="DZ159" s="1211"/>
      <c r="EA159" s="1213"/>
      <c r="EB159" s="1827"/>
      <c r="EC159" s="1213"/>
      <c r="ED159" s="1248"/>
      <c r="EE159" s="1213"/>
      <c r="EF159" s="1249"/>
      <c r="EG159" s="1211"/>
      <c r="EH159" s="1213"/>
      <c r="EI159" s="1827"/>
      <c r="EJ159" s="1213"/>
      <c r="EK159" s="1248"/>
      <c r="EL159" s="1175"/>
      <c r="EM159" s="1232"/>
      <c r="EN159" s="1250"/>
      <c r="EO159" s="1176"/>
      <c r="EP159" s="1251"/>
      <c r="EQ159" s="1251"/>
      <c r="ER159" s="1251"/>
      <c r="ES159" s="1251"/>
      <c r="ET159" s="1251"/>
      <c r="EU159" s="1251"/>
      <c r="EV159" s="1251"/>
      <c r="EW159" s="1251"/>
      <c r="EX159" s="1251"/>
      <c r="EY159" s="1251"/>
      <c r="EZ159" s="1251"/>
      <c r="FA159" s="1251"/>
      <c r="FB159" s="1251"/>
      <c r="FC159" s="1251"/>
      <c r="FD159" s="1251"/>
      <c r="FE159" s="1251"/>
      <c r="FF159" s="1251"/>
      <c r="FG159" s="1251"/>
      <c r="FH159" s="1251"/>
      <c r="FI159" s="1251"/>
      <c r="FJ159" s="1251"/>
      <c r="FK159" s="1251"/>
      <c r="FL159" s="1251"/>
      <c r="FM159" s="1251"/>
      <c r="FN159" s="1971"/>
      <c r="FO159" s="1971"/>
      <c r="FP159" s="1971"/>
      <c r="FQ159" s="1971"/>
      <c r="FR159" s="1971"/>
    </row>
  </sheetData>
  <mergeCells count="43">
    <mergeCell ref="AB33:AY33"/>
    <mergeCell ref="R12:S12"/>
    <mergeCell ref="V12:W12"/>
    <mergeCell ref="AA12:AD12"/>
    <mergeCell ref="AF12:AG12"/>
    <mergeCell ref="AH12:AL12"/>
    <mergeCell ref="AM12:AN12"/>
    <mergeCell ref="AO12:AQ12"/>
    <mergeCell ref="AR12:AS12"/>
    <mergeCell ref="AT12:AX12"/>
    <mergeCell ref="AB28:AY29"/>
    <mergeCell ref="AL31:AQ31"/>
    <mergeCell ref="BT9:BT11"/>
    <mergeCell ref="BU9:BU11"/>
    <mergeCell ref="AA10:AD11"/>
    <mergeCell ref="AE10:AE11"/>
    <mergeCell ref="AF10:AG11"/>
    <mergeCell ref="AH10:AL11"/>
    <mergeCell ref="AO10:AQ11"/>
    <mergeCell ref="AR10:AS11"/>
    <mergeCell ref="AV10:AX11"/>
    <mergeCell ref="BJ9:BJ11"/>
    <mergeCell ref="B4:AY4"/>
    <mergeCell ref="B5:AY5"/>
    <mergeCell ref="B6:AY6"/>
    <mergeCell ref="B9:B11"/>
    <mergeCell ref="D9:D11"/>
    <mergeCell ref="E9:E11"/>
    <mergeCell ref="F9:F11"/>
    <mergeCell ref="M9:M11"/>
    <mergeCell ref="R9:S11"/>
    <mergeCell ref="V9:X11"/>
    <mergeCell ref="Y9:Y11"/>
    <mergeCell ref="AB9:AL9"/>
    <mergeCell ref="AM9:AN10"/>
    <mergeCell ref="AO9:AX9"/>
    <mergeCell ref="AY9:AY11"/>
    <mergeCell ref="V3:AQ3"/>
    <mergeCell ref="B1:S1"/>
    <mergeCell ref="V1:AQ1"/>
    <mergeCell ref="AR1:AX1"/>
    <mergeCell ref="B2:S2"/>
    <mergeCell ref="V2:AQ2"/>
  </mergeCells>
  <conditionalFormatting sqref="DD47">
    <cfRule type="expression" dxfId="1455" priority="6029" stopIfTrue="1">
      <formula>IF(DE47&gt;0,1,0)</formula>
    </cfRule>
    <cfRule type="expression" dxfId="1454" priority="6030" stopIfTrue="1">
      <formula>IF(DE47=0,1,0)</formula>
    </cfRule>
  </conditionalFormatting>
  <conditionalFormatting sqref="DJ47 DK15:DK22 BJ15:BJ22">
    <cfRule type="cellIs" dxfId="1453" priority="6026" stopIfTrue="1" operator="between">
      <formula>"Hưu"</formula>
      <formula>"Hưu"</formula>
    </cfRule>
    <cfRule type="cellIs" dxfId="1452" priority="6027" stopIfTrue="1" operator="between">
      <formula>"---"</formula>
      <formula>"---"</formula>
    </cfRule>
    <cfRule type="cellIs" dxfId="1451" priority="6028" stopIfTrue="1" operator="between">
      <formula>"Quá"</formula>
      <formula>"Quá"</formula>
    </cfRule>
  </conditionalFormatting>
  <conditionalFormatting sqref="DA47">
    <cfRule type="cellIs" dxfId="1450" priority="6023" stopIfTrue="1" operator="between">
      <formula>"Đến"</formula>
      <formula>"Đến"</formula>
    </cfRule>
    <cfRule type="cellIs" dxfId="1449" priority="6024" stopIfTrue="1" operator="between">
      <formula>"Quá"</formula>
      <formula>"Quá"</formula>
    </cfRule>
    <cfRule type="expression" dxfId="1448" priority="6025" stopIfTrue="1">
      <formula>IF(OR(DA47="Lương Sớm Hưu",DA47="Nâng Ngạch Hưu"),1,0)</formula>
    </cfRule>
  </conditionalFormatting>
  <conditionalFormatting sqref="DI47">
    <cfRule type="expression" dxfId="1447" priority="6020" stopIfTrue="1">
      <formula>IF(DI47="Nâg Ngạch sau TB",1,0)</formula>
    </cfRule>
    <cfRule type="expression" dxfId="1446" priority="6021" stopIfTrue="1">
      <formula>IF(DI47="Nâg Lươg Sớm sau TB",1,0)</formula>
    </cfRule>
    <cfRule type="expression" dxfId="1445" priority="6022" stopIfTrue="1">
      <formula>IF(DI47="Nâg PC TNVK cùng QĐ",1,0)</formula>
    </cfRule>
  </conditionalFormatting>
  <conditionalFormatting sqref="A47">
    <cfRule type="expression" dxfId="1444" priority="6018" stopIfTrue="1">
      <formula>IF(#REF!="Hưu",1,0)</formula>
    </cfRule>
    <cfRule type="expression" dxfId="1443" priority="6019" stopIfTrue="1">
      <formula>IF(#REF!="Quá",1,0)</formula>
    </cfRule>
  </conditionalFormatting>
  <conditionalFormatting sqref="DD13">
    <cfRule type="expression" dxfId="1442" priority="6011" stopIfTrue="1">
      <formula>IF(DE13&gt;0,1,0)</formula>
    </cfRule>
    <cfRule type="expression" dxfId="1441" priority="6012" stopIfTrue="1">
      <formula>IF(DE13=0,1,0)</formula>
    </cfRule>
  </conditionalFormatting>
  <conditionalFormatting sqref="DJ13 BL13">
    <cfRule type="cellIs" dxfId="1440" priority="6008" stopIfTrue="1" operator="between">
      <formula>"Hưu"</formula>
      <formula>"Hưu"</formula>
    </cfRule>
    <cfRule type="cellIs" dxfId="1439" priority="6009" stopIfTrue="1" operator="between">
      <formula>"---"</formula>
      <formula>"---"</formula>
    </cfRule>
    <cfRule type="cellIs" dxfId="1438" priority="6010" stopIfTrue="1" operator="between">
      <formula>"Quá"</formula>
      <formula>"Quá"</formula>
    </cfRule>
  </conditionalFormatting>
  <conditionalFormatting sqref="BD13 DA13">
    <cfRule type="cellIs" dxfId="1437" priority="6005" stopIfTrue="1" operator="between">
      <formula>"Đến"</formula>
      <formula>"Đến"</formula>
    </cfRule>
    <cfRule type="cellIs" dxfId="1436" priority="6006" stopIfTrue="1" operator="between">
      <formula>"Quá"</formula>
      <formula>"Quá"</formula>
    </cfRule>
    <cfRule type="expression" dxfId="1435" priority="6007" stopIfTrue="1">
      <formula>IF(OR(BD13="Lương Sớm Hưu",BD13="Nâng Ngạch Hưu"),1,0)</formula>
    </cfRule>
  </conditionalFormatting>
  <conditionalFormatting sqref="BK13 DI13">
    <cfRule type="expression" dxfId="1434" priority="6002" stopIfTrue="1">
      <formula>IF(BK13="Nâg Ngạch sau TB",1,0)</formula>
    </cfRule>
    <cfRule type="expression" dxfId="1433" priority="6003" stopIfTrue="1">
      <formula>IF(BK13="Nâg Lươg Sớm sau TB",1,0)</formula>
    </cfRule>
    <cfRule type="expression" dxfId="1432" priority="6004" stopIfTrue="1">
      <formula>IF(BK13="Nâg PC TNVK cùng QĐ",1,0)</formula>
    </cfRule>
  </conditionalFormatting>
  <conditionalFormatting sqref="A13">
    <cfRule type="expression" dxfId="1431" priority="6000" stopIfTrue="1">
      <formula>IF(#REF!="Hưu",1,0)</formula>
    </cfRule>
    <cfRule type="expression" dxfId="1430" priority="6001" stopIfTrue="1">
      <formula>IF(#REF!="Quá",1,0)</formula>
    </cfRule>
  </conditionalFormatting>
  <conditionalFormatting sqref="DD9:DD11">
    <cfRule type="expression" dxfId="1429" priority="5991" stopIfTrue="1">
      <formula>IF(DE9&gt;0,1,0)</formula>
    </cfRule>
    <cfRule type="expression" dxfId="1428" priority="5992" stopIfTrue="1">
      <formula>IF(DE9=0,1,0)</formula>
    </cfRule>
  </conditionalFormatting>
  <conditionalFormatting sqref="DJ9:DJ11">
    <cfRule type="cellIs" dxfId="1427" priority="5988" stopIfTrue="1" operator="between">
      <formula>"Hưu"</formula>
      <formula>"Hưu"</formula>
    </cfRule>
    <cfRule type="cellIs" dxfId="1426" priority="5989" stopIfTrue="1" operator="between">
      <formula>"---"</formula>
      <formula>"---"</formula>
    </cfRule>
    <cfRule type="cellIs" dxfId="1425" priority="5990" stopIfTrue="1" operator="between">
      <formula>"Quá"</formula>
      <formula>"Quá"</formula>
    </cfRule>
  </conditionalFormatting>
  <conditionalFormatting sqref="DA9:DA11">
    <cfRule type="cellIs" dxfId="1424" priority="5985" stopIfTrue="1" operator="between">
      <formula>"Đến"</formula>
      <formula>"Đến"</formula>
    </cfRule>
    <cfRule type="cellIs" dxfId="1423" priority="5986" stopIfTrue="1" operator="between">
      <formula>"Quá"</formula>
      <formula>"Quá"</formula>
    </cfRule>
    <cfRule type="expression" dxfId="1422" priority="5987" stopIfTrue="1">
      <formula>IF(OR(DA9="Lương Sớm Hưu",DA9="Nâng Ngạch Hưu"),1,0)</formula>
    </cfRule>
  </conditionalFormatting>
  <conditionalFormatting sqref="DI9:DI11">
    <cfRule type="expression" dxfId="1421" priority="5982" stopIfTrue="1">
      <formula>IF(DI9="Nâg Ngạch sau TB",1,0)</formula>
    </cfRule>
    <cfRule type="expression" dxfId="1420" priority="5983" stopIfTrue="1">
      <formula>IF(DI9="Nâg Lươg Sớm sau TB",1,0)</formula>
    </cfRule>
    <cfRule type="expression" dxfId="1419" priority="5984" stopIfTrue="1">
      <formula>IF(DI9="Nâg PC TNVK cùng QĐ",1,0)</formula>
    </cfRule>
  </conditionalFormatting>
  <conditionalFormatting sqref="DD12">
    <cfRule type="expression" dxfId="1418" priority="5980" stopIfTrue="1">
      <formula>IF(DE12&gt;0,1,0)</formula>
    </cfRule>
    <cfRule type="expression" dxfId="1417" priority="5981" stopIfTrue="1">
      <formula>IF(DE12=0,1,0)</formula>
    </cfRule>
  </conditionalFormatting>
  <conditionalFormatting sqref="DJ12 BL12">
    <cfRule type="cellIs" dxfId="1416" priority="5977" stopIfTrue="1" operator="between">
      <formula>"Hưu"</formula>
      <formula>"Hưu"</formula>
    </cfRule>
    <cfRule type="cellIs" dxfId="1415" priority="5978" stopIfTrue="1" operator="between">
      <formula>"---"</formula>
      <formula>"---"</formula>
    </cfRule>
    <cfRule type="cellIs" dxfId="1414" priority="5979" stopIfTrue="1" operator="between">
      <formula>"Quá"</formula>
      <formula>"Quá"</formula>
    </cfRule>
  </conditionalFormatting>
  <conditionalFormatting sqref="BD12 DA12">
    <cfRule type="cellIs" dxfId="1413" priority="5974" stopIfTrue="1" operator="between">
      <formula>"Đến"</formula>
      <formula>"Đến"</formula>
    </cfRule>
    <cfRule type="cellIs" dxfId="1412" priority="5975" stopIfTrue="1" operator="between">
      <formula>"Quá"</formula>
      <formula>"Quá"</formula>
    </cfRule>
    <cfRule type="expression" dxfId="1411" priority="5976" stopIfTrue="1">
      <formula>IF(OR(BD12="Lương Sớm Hưu",BD12="Nâng Ngạch Hưu"),1,0)</formula>
    </cfRule>
  </conditionalFormatting>
  <conditionalFormatting sqref="BK12 DI12">
    <cfRule type="expression" dxfId="1410" priority="5971" stopIfTrue="1">
      <formula>IF(BK12="Nâg Ngạch sau TB",1,0)</formula>
    </cfRule>
    <cfRule type="expression" dxfId="1409" priority="5972" stopIfTrue="1">
      <formula>IF(BK12="Nâg Lươg Sớm sau TB",1,0)</formula>
    </cfRule>
    <cfRule type="expression" dxfId="1408" priority="5973" stopIfTrue="1">
      <formula>IF(BK12="Nâg PC TNVK cùng QĐ",1,0)</formula>
    </cfRule>
  </conditionalFormatting>
  <conditionalFormatting sqref="A12">
    <cfRule type="expression" dxfId="1407" priority="5969" stopIfTrue="1">
      <formula>IF(#REF!="Hưu",1,0)</formula>
    </cfRule>
    <cfRule type="expression" dxfId="1406" priority="5970" stopIfTrue="1">
      <formula>IF(#REF!="Quá",1,0)</formula>
    </cfRule>
  </conditionalFormatting>
  <conditionalFormatting sqref="A9:A11">
    <cfRule type="expression" dxfId="1405" priority="5967" stopIfTrue="1">
      <formula>IF(#REF!="Hưu",1,0)</formula>
    </cfRule>
    <cfRule type="expression" dxfId="1404" priority="5968" stopIfTrue="1">
      <formula>IF(#REF!="Quá",1,0)</formula>
    </cfRule>
  </conditionalFormatting>
  <conditionalFormatting sqref="BJ51 DK51">
    <cfRule type="cellIs" dxfId="1403" priority="5964" stopIfTrue="1" operator="between">
      <formula>"Hưu"</formula>
      <formula>"Hưu"</formula>
    </cfRule>
    <cfRule type="cellIs" dxfId="1402" priority="5965" stopIfTrue="1" operator="between">
      <formula>"---"</formula>
      <formula>"---"</formula>
    </cfRule>
    <cfRule type="cellIs" dxfId="1401" priority="5966" stopIfTrue="1" operator="between">
      <formula>"Quá"</formula>
      <formula>"Quá"</formula>
    </cfRule>
  </conditionalFormatting>
  <conditionalFormatting sqref="DB51 BB51 BB15:BB22 DB15:DB22">
    <cfRule type="cellIs" dxfId="1400" priority="5962" stopIfTrue="1" operator="between">
      <formula>"Đến"</formula>
      <formula>"Đến"</formula>
    </cfRule>
    <cfRule type="cellIs" dxfId="1399" priority="5963" stopIfTrue="1" operator="between">
      <formula>"Quá"</formula>
      <formula>"Quá"</formula>
    </cfRule>
  </conditionalFormatting>
  <conditionalFormatting sqref="BR51">
    <cfRule type="expression" dxfId="1398" priority="5959" stopIfTrue="1">
      <formula>IF(AND(#REF!&gt;0,#REF!&lt;5),1,0)</formula>
    </cfRule>
    <cfRule type="expression" dxfId="1397" priority="5960" stopIfTrue="1">
      <formula>IF(#REF!=5,1,0)</formula>
    </cfRule>
    <cfRule type="expression" dxfId="1396" priority="5961" stopIfTrue="1">
      <formula>IF(#REF!&gt;5,1,0)</formula>
    </cfRule>
  </conditionalFormatting>
  <conditionalFormatting sqref="A51 A15:A22">
    <cfRule type="expression" dxfId="1395" priority="5957" stopIfTrue="1">
      <formula>IF(#REF!="Hưu",1,0)</formula>
    </cfRule>
    <cfRule type="expression" dxfId="1394" priority="5958" stopIfTrue="1">
      <formula>IF(#REF!="Quá",1,0)</formula>
    </cfRule>
  </conditionalFormatting>
  <conditionalFormatting sqref="BE51 BE15:BE22">
    <cfRule type="expression" dxfId="1393" priority="5955" stopIfTrue="1">
      <formula>IF(#REF!&gt;0,1,0)</formula>
    </cfRule>
    <cfRule type="expression" dxfId="1392" priority="5956" stopIfTrue="1">
      <formula>IF(#REF!=0,1,0)</formula>
    </cfRule>
  </conditionalFormatting>
  <conditionalFormatting sqref="BB51 BB15:BB22">
    <cfRule type="expression" dxfId="1391" priority="5954" stopIfTrue="1">
      <formula>IF(OR(#REF!="Lương Sớm Hưu",#REF!="Nâng Ngạch Hưu"),1,0)</formula>
    </cfRule>
  </conditionalFormatting>
  <conditionalFormatting sqref="BI51 BI15:BI22 DJ15:DJ22">
    <cfRule type="expression" dxfId="1390" priority="5951" stopIfTrue="1">
      <formula>IF(#REF!="Nâg Ngạch sau TB",1,0)</formula>
    </cfRule>
    <cfRule type="expression" dxfId="1389" priority="5952" stopIfTrue="1">
      <formula>IF(#REF!="Nâg Lươg Sớm sau TB",1,0)</formula>
    </cfRule>
    <cfRule type="expression" dxfId="1388" priority="5953" stopIfTrue="1">
      <formula>IF(#REF!="Nâg PC TNVK cùng QĐ",1,0)</formula>
    </cfRule>
  </conditionalFormatting>
  <conditionalFormatting sqref="DE51 DE15:DE22">
    <cfRule type="expression" dxfId="1387" priority="5949" stopIfTrue="1">
      <formula>IF(#REF!&gt;0,1,0)</formula>
    </cfRule>
    <cfRule type="expression" dxfId="1386" priority="5950" stopIfTrue="1">
      <formula>IF(#REF!=0,1,0)</formula>
    </cfRule>
  </conditionalFormatting>
  <conditionalFormatting sqref="DB51 DB15:DB22">
    <cfRule type="expression" dxfId="1385" priority="5948" stopIfTrue="1">
      <formula>IF(OR(#REF!="Lương Sớm Hưu",#REF!="Nâng Ngạch Hưu"),1,0)</formula>
    </cfRule>
  </conditionalFormatting>
  <conditionalFormatting sqref="DJ51">
    <cfRule type="expression" dxfId="1384" priority="5945" stopIfTrue="1">
      <formula>IF(#REF!="Nâg Ngạch sau TB",1,0)</formula>
    </cfRule>
    <cfRule type="expression" dxfId="1383" priority="5946" stopIfTrue="1">
      <formula>IF(#REF!="Nâg Lươg Sớm sau TB",1,0)</formula>
    </cfRule>
    <cfRule type="expression" dxfId="1382" priority="5947" stopIfTrue="1">
      <formula>IF(#REF!="Nâg PC TNVK cùng QĐ",1,0)</formula>
    </cfRule>
  </conditionalFormatting>
  <conditionalFormatting sqref="BJ50 DK50">
    <cfRule type="cellIs" dxfId="1381" priority="5942" stopIfTrue="1" operator="between">
      <formula>"Hưu"</formula>
      <formula>"Hưu"</formula>
    </cfRule>
    <cfRule type="cellIs" dxfId="1380" priority="5943" stopIfTrue="1" operator="between">
      <formula>"---"</formula>
      <formula>"---"</formula>
    </cfRule>
    <cfRule type="cellIs" dxfId="1379" priority="5944" stopIfTrue="1" operator="between">
      <formula>"Quá"</formula>
      <formula>"Quá"</formula>
    </cfRule>
  </conditionalFormatting>
  <conditionalFormatting sqref="DB50 BB50">
    <cfRule type="cellIs" dxfId="1378" priority="5940" stopIfTrue="1" operator="between">
      <formula>"Đến"</formula>
      <formula>"Đến"</formula>
    </cfRule>
    <cfRule type="cellIs" dxfId="1377" priority="5941" stopIfTrue="1" operator="between">
      <formula>"Quá"</formula>
      <formula>"Quá"</formula>
    </cfRule>
  </conditionalFormatting>
  <conditionalFormatting sqref="BR50 BR15:BR22">
    <cfRule type="expression" dxfId="1376" priority="5937" stopIfTrue="1">
      <formula>IF(AND(#REF!&gt;0,#REF!&lt;5),1,0)</formula>
    </cfRule>
    <cfRule type="expression" dxfId="1375" priority="5938" stopIfTrue="1">
      <formula>IF(#REF!=5,1,0)</formula>
    </cfRule>
    <cfRule type="expression" dxfId="1374" priority="5939" stopIfTrue="1">
      <formula>IF(#REF!&gt;5,1,0)</formula>
    </cfRule>
  </conditionalFormatting>
  <conditionalFormatting sqref="A50">
    <cfRule type="expression" dxfId="1373" priority="5935" stopIfTrue="1">
      <formula>IF(#REF!="Hưu",1,0)</formula>
    </cfRule>
    <cfRule type="expression" dxfId="1372" priority="5936" stopIfTrue="1">
      <formula>IF(#REF!="Quá",1,0)</formula>
    </cfRule>
  </conditionalFormatting>
  <conditionalFormatting sqref="BE50">
    <cfRule type="expression" dxfId="1371" priority="5933" stopIfTrue="1">
      <formula>IF(#REF!&gt;0,1,0)</formula>
    </cfRule>
    <cfRule type="expression" dxfId="1370" priority="5934" stopIfTrue="1">
      <formula>IF(#REF!=0,1,0)</formula>
    </cfRule>
  </conditionalFormatting>
  <conditionalFormatting sqref="BB50">
    <cfRule type="expression" dxfId="1369" priority="5932" stopIfTrue="1">
      <formula>IF(OR(#REF!="Lương Sớm Hưu",#REF!="Nâng Ngạch Hưu"),1,0)</formula>
    </cfRule>
  </conditionalFormatting>
  <conditionalFormatting sqref="BI50">
    <cfRule type="expression" dxfId="1368" priority="5929" stopIfTrue="1">
      <formula>IF(#REF!="Nâg Ngạch sau TB",1,0)</formula>
    </cfRule>
    <cfRule type="expression" dxfId="1367" priority="5930" stopIfTrue="1">
      <formula>IF(#REF!="Nâg Lươg Sớm sau TB",1,0)</formula>
    </cfRule>
    <cfRule type="expression" dxfId="1366" priority="5931" stopIfTrue="1">
      <formula>IF(#REF!="Nâg PC TNVK cùng QĐ",1,0)</formula>
    </cfRule>
  </conditionalFormatting>
  <conditionalFormatting sqref="DE50">
    <cfRule type="expression" dxfId="1365" priority="5927" stopIfTrue="1">
      <formula>IF(#REF!&gt;0,1,0)</formula>
    </cfRule>
    <cfRule type="expression" dxfId="1364" priority="5928" stopIfTrue="1">
      <formula>IF(#REF!=0,1,0)</formula>
    </cfRule>
  </conditionalFormatting>
  <conditionalFormatting sqref="DB50">
    <cfRule type="expression" dxfId="1363" priority="5926" stopIfTrue="1">
      <formula>IF(OR(#REF!="Lương Sớm Hưu",#REF!="Nâng Ngạch Hưu"),1,0)</formula>
    </cfRule>
  </conditionalFormatting>
  <conditionalFormatting sqref="DJ50">
    <cfRule type="expression" dxfId="1362" priority="5923" stopIfTrue="1">
      <formula>IF(#REF!="Nâg Ngạch sau TB",1,0)</formula>
    </cfRule>
    <cfRule type="expression" dxfId="1361" priority="5924" stopIfTrue="1">
      <formula>IF(#REF!="Nâg Lươg Sớm sau TB",1,0)</formula>
    </cfRule>
    <cfRule type="expression" dxfId="1360" priority="5925" stopIfTrue="1">
      <formula>IF(#REF!="Nâg PC TNVK cùng QĐ",1,0)</formula>
    </cfRule>
  </conditionalFormatting>
  <conditionalFormatting sqref="BJ48 DK48">
    <cfRule type="cellIs" dxfId="1359" priority="5920" stopIfTrue="1" operator="between">
      <formula>"Hưu"</formula>
      <formula>"Hưu"</formula>
    </cfRule>
    <cfRule type="cellIs" dxfId="1358" priority="5921" stopIfTrue="1" operator="between">
      <formula>"---"</formula>
      <formula>"---"</formula>
    </cfRule>
    <cfRule type="cellIs" dxfId="1357" priority="5922" stopIfTrue="1" operator="between">
      <formula>"Quá"</formula>
      <formula>"Quá"</formula>
    </cfRule>
  </conditionalFormatting>
  <conditionalFormatting sqref="DB48 BB48">
    <cfRule type="cellIs" dxfId="1356" priority="5918" stopIfTrue="1" operator="between">
      <formula>"Đến"</formula>
      <formula>"Đến"</formula>
    </cfRule>
    <cfRule type="cellIs" dxfId="1355" priority="5919" stopIfTrue="1" operator="between">
      <formula>"Quá"</formula>
      <formula>"Quá"</formula>
    </cfRule>
  </conditionalFormatting>
  <conditionalFormatting sqref="BR48">
    <cfRule type="expression" dxfId="1354" priority="5915" stopIfTrue="1">
      <formula>IF(AND(#REF!&gt;0,#REF!&lt;5),1,0)</formula>
    </cfRule>
    <cfRule type="expression" dxfId="1353" priority="5916" stopIfTrue="1">
      <formula>IF(#REF!=5,1,0)</formula>
    </cfRule>
    <cfRule type="expression" dxfId="1352" priority="5917" stopIfTrue="1">
      <formula>IF(#REF!&gt;5,1,0)</formula>
    </cfRule>
  </conditionalFormatting>
  <conditionalFormatting sqref="A48">
    <cfRule type="expression" dxfId="1351" priority="5913" stopIfTrue="1">
      <formula>IF(#REF!="Hưu",1,0)</formula>
    </cfRule>
    <cfRule type="expression" dxfId="1350" priority="5914" stopIfTrue="1">
      <formula>IF(#REF!="Quá",1,0)</formula>
    </cfRule>
  </conditionalFormatting>
  <conditionalFormatting sqref="BE48">
    <cfRule type="expression" dxfId="1349" priority="5911" stopIfTrue="1">
      <formula>IF(#REF!&gt;0,1,0)</formula>
    </cfRule>
    <cfRule type="expression" dxfId="1348" priority="5912" stopIfTrue="1">
      <formula>IF(#REF!=0,1,0)</formula>
    </cfRule>
  </conditionalFormatting>
  <conditionalFormatting sqref="BB48">
    <cfRule type="expression" dxfId="1347" priority="5910" stopIfTrue="1">
      <formula>IF(OR(#REF!="Lương Sớm Hưu",#REF!="Nâng Ngạch Hưu"),1,0)</formula>
    </cfRule>
  </conditionalFormatting>
  <conditionalFormatting sqref="BI48">
    <cfRule type="expression" dxfId="1346" priority="5907" stopIfTrue="1">
      <formula>IF(#REF!="Nâg Ngạch sau TB",1,0)</formula>
    </cfRule>
    <cfRule type="expression" dxfId="1345" priority="5908" stopIfTrue="1">
      <formula>IF(#REF!="Nâg Lươg Sớm sau TB",1,0)</formula>
    </cfRule>
    <cfRule type="expression" dxfId="1344" priority="5909" stopIfTrue="1">
      <formula>IF(#REF!="Nâg PC TNVK cùng QĐ",1,0)</formula>
    </cfRule>
  </conditionalFormatting>
  <conditionalFormatting sqref="DE48">
    <cfRule type="expression" dxfId="1343" priority="5905" stopIfTrue="1">
      <formula>IF(#REF!&gt;0,1,0)</formula>
    </cfRule>
    <cfRule type="expression" dxfId="1342" priority="5906" stopIfTrue="1">
      <formula>IF(#REF!=0,1,0)</formula>
    </cfRule>
  </conditionalFormatting>
  <conditionalFormatting sqref="DB48">
    <cfRule type="expression" dxfId="1341" priority="5904" stopIfTrue="1">
      <formula>IF(OR(#REF!="Lương Sớm Hưu",#REF!="Nâng Ngạch Hưu"),1,0)</formula>
    </cfRule>
  </conditionalFormatting>
  <conditionalFormatting sqref="DJ48">
    <cfRule type="expression" dxfId="1340" priority="5901" stopIfTrue="1">
      <formula>IF(#REF!="Nâg Ngạch sau TB",1,0)</formula>
    </cfRule>
    <cfRule type="expression" dxfId="1339" priority="5902" stopIfTrue="1">
      <formula>IF(#REF!="Nâg Lươg Sớm sau TB",1,0)</formula>
    </cfRule>
    <cfRule type="expression" dxfId="1338" priority="5903" stopIfTrue="1">
      <formula>IF(#REF!="Nâg PC TNVK cùng QĐ",1,0)</formula>
    </cfRule>
  </conditionalFormatting>
  <conditionalFormatting sqref="DK49 BJ49">
    <cfRule type="cellIs" dxfId="1337" priority="5898" stopIfTrue="1" operator="between">
      <formula>"Hưu"</formula>
      <formula>"Hưu"</formula>
    </cfRule>
    <cfRule type="cellIs" dxfId="1336" priority="5899" stopIfTrue="1" operator="between">
      <formula>"---"</formula>
      <formula>"---"</formula>
    </cfRule>
    <cfRule type="cellIs" dxfId="1335" priority="5900" stopIfTrue="1" operator="between">
      <formula>"Quá"</formula>
      <formula>"Quá"</formula>
    </cfRule>
  </conditionalFormatting>
  <conditionalFormatting sqref="BB49 DB49">
    <cfRule type="cellIs" dxfId="1334" priority="5896" stopIfTrue="1" operator="between">
      <formula>"Đến"</formula>
      <formula>"Đến"</formula>
    </cfRule>
    <cfRule type="cellIs" dxfId="1333" priority="5897" stopIfTrue="1" operator="between">
      <formula>"Quá"</formula>
      <formula>"Quá"</formula>
    </cfRule>
  </conditionalFormatting>
  <conditionalFormatting sqref="BR49">
    <cfRule type="expression" dxfId="1332" priority="5893" stopIfTrue="1">
      <formula>IF(AND(#REF!&gt;0,#REF!&lt;5),1,0)</formula>
    </cfRule>
    <cfRule type="expression" dxfId="1331" priority="5894" stopIfTrue="1">
      <formula>IF(#REF!=5,1,0)</formula>
    </cfRule>
    <cfRule type="expression" dxfId="1330" priority="5895" stopIfTrue="1">
      <formula>IF(#REF!&gt;5,1,0)</formula>
    </cfRule>
  </conditionalFormatting>
  <conditionalFormatting sqref="A49">
    <cfRule type="expression" dxfId="1329" priority="5891" stopIfTrue="1">
      <formula>IF(#REF!="Hưu",1,0)</formula>
    </cfRule>
    <cfRule type="expression" dxfId="1328" priority="5892" stopIfTrue="1">
      <formula>IF(#REF!="Quá",1,0)</formula>
    </cfRule>
  </conditionalFormatting>
  <conditionalFormatting sqref="BE49">
    <cfRule type="expression" dxfId="1327" priority="5889" stopIfTrue="1">
      <formula>IF(#REF!&gt;0,1,0)</formula>
    </cfRule>
    <cfRule type="expression" dxfId="1326" priority="5890" stopIfTrue="1">
      <formula>IF(#REF!=0,1,0)</formula>
    </cfRule>
  </conditionalFormatting>
  <conditionalFormatting sqref="BB49">
    <cfRule type="expression" dxfId="1325" priority="5888" stopIfTrue="1">
      <formula>IF(OR(#REF!="Lương Sớm Hưu",#REF!="Nâng Ngạch Hưu"),1,0)</formula>
    </cfRule>
  </conditionalFormatting>
  <conditionalFormatting sqref="BI49">
    <cfRule type="expression" dxfId="1324" priority="5885" stopIfTrue="1">
      <formula>IF(#REF!="Nâg Ngạch sau TB",1,0)</formula>
    </cfRule>
    <cfRule type="expression" dxfId="1323" priority="5886" stopIfTrue="1">
      <formula>IF(#REF!="Nâg Lươg Sớm sau TB",1,0)</formula>
    </cfRule>
    <cfRule type="expression" dxfId="1322" priority="5887" stopIfTrue="1">
      <formula>IF(#REF!="Nâg PC TNVK cùng QĐ",1,0)</formula>
    </cfRule>
  </conditionalFormatting>
  <conditionalFormatting sqref="DE49">
    <cfRule type="expression" dxfId="1321" priority="5883" stopIfTrue="1">
      <formula>IF(#REF!&gt;0,1,0)</formula>
    </cfRule>
    <cfRule type="expression" dxfId="1320" priority="5884" stopIfTrue="1">
      <formula>IF(#REF!=0,1,0)</formula>
    </cfRule>
  </conditionalFormatting>
  <conditionalFormatting sqref="DB49">
    <cfRule type="expression" dxfId="1319" priority="5882" stopIfTrue="1">
      <formula>IF(OR(#REF!="Lương Sớm Hưu",#REF!="Nâng Ngạch Hưu"),1,0)</formula>
    </cfRule>
  </conditionalFormatting>
  <conditionalFormatting sqref="DJ49">
    <cfRule type="expression" dxfId="1318" priority="5879" stopIfTrue="1">
      <formula>IF(#REF!="Nâg Ngạch sau TB",1,0)</formula>
    </cfRule>
    <cfRule type="expression" dxfId="1317" priority="5880" stopIfTrue="1">
      <formula>IF(#REF!="Nâg Lươg Sớm sau TB",1,0)</formula>
    </cfRule>
    <cfRule type="expression" dxfId="1316" priority="5881" stopIfTrue="1">
      <formula>IF(#REF!="Nâg PC TNVK cùng QĐ",1,0)</formula>
    </cfRule>
  </conditionalFormatting>
  <conditionalFormatting sqref="DN49 DN15:DN22">
    <cfRule type="expression" dxfId="1315" priority="5876" stopIfTrue="1">
      <formula>IF(FF15="Hưu",1,0)</formula>
    </cfRule>
    <cfRule type="expression" dxfId="1314" priority="5877" stopIfTrue="1">
      <formula>IF(FF15="Quá",1,0)</formula>
    </cfRule>
    <cfRule type="expression" dxfId="1313" priority="5878" stopIfTrue="1">
      <formula>IF(EN15="Lùi",1,0)</formula>
    </cfRule>
  </conditionalFormatting>
  <conditionalFormatting sqref="DU49 DU15:DU22">
    <cfRule type="expression" dxfId="1312" priority="5874" stopIfTrue="1">
      <formula>IF(FK15="Hưu",1,0)</formula>
    </cfRule>
    <cfRule type="expression" dxfId="1311" priority="5875" stopIfTrue="1">
      <formula>IF(FK15="Quá",1,0)</formula>
    </cfRule>
  </conditionalFormatting>
  <conditionalFormatting sqref="CU49 CU15:CU22">
    <cfRule type="cellIs" dxfId="1310" priority="5871" stopIfTrue="1" operator="between">
      <formula>"Hưu"</formula>
      <formula>"Hưu"</formula>
    </cfRule>
    <cfRule type="cellIs" dxfId="1309" priority="5872" stopIfTrue="1" operator="between">
      <formula>"---"</formula>
      <formula>"---"</formula>
    </cfRule>
    <cfRule type="cellIs" dxfId="1308" priority="5873" stopIfTrue="1" operator="between">
      <formula>"Quá"</formula>
      <formula>"Quá"</formula>
    </cfRule>
  </conditionalFormatting>
  <conditionalFormatting sqref="BF49 BF15:BF22">
    <cfRule type="cellIs" dxfId="1307" priority="5870" stopIfTrue="1" operator="between">
      <formula>4</formula>
      <formula>4</formula>
    </cfRule>
  </conditionalFormatting>
  <conditionalFormatting sqref="BE49 BE15:BE22">
    <cfRule type="expression" dxfId="1306" priority="5868" stopIfTrue="1">
      <formula>IF(BE15="Đến %",1,0)</formula>
    </cfRule>
    <cfRule type="expression" dxfId="1305" priority="5869" stopIfTrue="1">
      <formula>IF(BE15="Dừng %",1,0)</formula>
    </cfRule>
  </conditionalFormatting>
  <conditionalFormatting sqref="BW49 BW15:BW22">
    <cfRule type="cellIs" dxfId="1304" priority="5867" stopIfTrue="1" operator="between">
      <formula>0</formula>
      <formula>13</formula>
    </cfRule>
  </conditionalFormatting>
  <conditionalFormatting sqref="EC49 EC15:EC22">
    <cfRule type="expression" dxfId="1303" priority="5866" stopIfTrue="1">
      <formula>IF(EC15="Sửa",1,0)</formula>
    </cfRule>
  </conditionalFormatting>
  <conditionalFormatting sqref="BS49 BS15:BS22">
    <cfRule type="expression" dxfId="1302" priority="5865" stopIfTrue="1">
      <formula>IF(AND(BX15=0,OR($AA$4-BS15&gt;BX15,$AA$4-BS15&lt;BX15)),1,0)</formula>
    </cfRule>
  </conditionalFormatting>
  <conditionalFormatting sqref="BM49 BM15:BM22">
    <cfRule type="expression" dxfId="1301" priority="5864" stopIfTrue="1">
      <formula>IF(AND(BX15=0,BM15&gt;0),1,0)</formula>
    </cfRule>
  </conditionalFormatting>
  <conditionalFormatting sqref="BI49:BJ49 BI15:BJ22">
    <cfRule type="expression" dxfId="1300" priority="5863" stopIfTrue="1">
      <formula>IF(AND(BR15=0,OR($AA$4-BI15&gt;BR15,$AA$4-BI15&lt;BR15)),1,0)</formula>
    </cfRule>
  </conditionalFormatting>
  <conditionalFormatting sqref="BQ49 BQ15:BQ22">
    <cfRule type="expression" dxfId="1299" priority="5862" stopIfTrue="1">
      <formula>IF(AND(BN15=0,OR($AA$4-BQ15&gt;BN15,$AA$4-BQ15&lt;BN15)),1,0)</formula>
    </cfRule>
  </conditionalFormatting>
  <conditionalFormatting sqref="C49 C15:C22">
    <cfRule type="expression" dxfId="1298" priority="5859" stopIfTrue="1">
      <formula>IF(CX15="Hưu",1,0)</formula>
    </cfRule>
    <cfRule type="expression" dxfId="1297" priority="5860" stopIfTrue="1">
      <formula>IF(CX15="Quá",1,0)</formula>
    </cfRule>
    <cfRule type="expression" dxfId="1296" priority="5861" stopIfTrue="1">
      <formula>IF(BC15="Lùi",1,0)</formula>
    </cfRule>
  </conditionalFormatting>
  <conditionalFormatting sqref="A49 A15:A22">
    <cfRule type="expression" dxfId="1295" priority="5856" stopIfTrue="1">
      <formula>IF(CV15="Hưu",1,0)</formula>
    </cfRule>
    <cfRule type="expression" dxfId="1294" priority="5857" stopIfTrue="1">
      <formula>IF(CV15="Quá",1,0)</formula>
    </cfRule>
    <cfRule type="expression" dxfId="1293" priority="5858" stopIfTrue="1">
      <formula>IF(AM15="Lùi",1,0)</formula>
    </cfRule>
  </conditionalFormatting>
  <conditionalFormatting sqref="E158 E156 E148 E136 E134 E152:E154 E121:E132 E116 E118:E119 E139:E146 E109:E113 E96 E99:E103">
    <cfRule type="expression" dxfId="1292" priority="5854" stopIfTrue="1">
      <formula>IF(CW96="Hưu",1,0)</formula>
    </cfRule>
    <cfRule type="expression" dxfId="1291" priority="5855" stopIfTrue="1">
      <formula>IF(CW96="Quá",1,0)</formula>
    </cfRule>
  </conditionalFormatting>
  <conditionalFormatting sqref="DO131:DO133 DO122:DO128 DO135:DO144 DO146:DO156 DO109:DO120 DO100 DO102">
    <cfRule type="expression" dxfId="1290" priority="5851" stopIfTrue="1">
      <formula>IF(FI100="Hưu",1,0)</formula>
    </cfRule>
    <cfRule type="expression" dxfId="1289" priority="5852" stopIfTrue="1">
      <formula>IF(FI100="Quá",1,0)</formula>
    </cfRule>
    <cfRule type="expression" dxfId="1288" priority="5853" stopIfTrue="1">
      <formula>IF(EQ100="Lùi",1,0)</formula>
    </cfRule>
  </conditionalFormatting>
  <conditionalFormatting sqref="DV158 DV148 DV136 DV152:DV156 DV116 DV118:DV119 DV121:DV134 DV139:DV146 DV96 DV109:DV113 DV99:DV103">
    <cfRule type="expression" dxfId="1287" priority="5849" stopIfTrue="1">
      <formula>IF(FN96="Hưu",1,0)</formula>
    </cfRule>
    <cfRule type="expression" dxfId="1286" priority="5850" stopIfTrue="1">
      <formula>IF(FN96="Quá",1,0)</formula>
    </cfRule>
  </conditionalFormatting>
  <conditionalFormatting sqref="AB158 AB119:AB132 AB134:AB154 AB109:AB117 AB96 AB99:AB103">
    <cfRule type="cellIs" dxfId="1285" priority="5846" stopIfTrue="1" operator="between">
      <formula>0</formula>
      <formula>0</formula>
    </cfRule>
    <cfRule type="expression" dxfId="1284" priority="5847" stopIfTrue="1">
      <formula>IF(AND(AD96&gt;AB96,AB96&gt;0),1,0)</formula>
    </cfRule>
    <cfRule type="expression" dxfId="1283" priority="5848" stopIfTrue="1">
      <formula>IF(AD96&lt;AB96,1,0)</formula>
    </cfRule>
  </conditionalFormatting>
  <conditionalFormatting sqref="BX158 BX151:BX152 BX126:BX128 BX131:BX133 BX135:BX137 BX154:BX156 BX139:BX149 BX99 BX109:BX124 BX102">
    <cfRule type="cellIs" dxfId="1282" priority="5845" stopIfTrue="1" operator="between">
      <formula>0</formula>
      <formula>13</formula>
    </cfRule>
  </conditionalFormatting>
  <conditionalFormatting sqref="AM158 AM96 AM109:AM156 AM99:AM103">
    <cfRule type="expression" dxfId="1281" priority="5844" stopIfTrue="1">
      <formula>IF(AND(BC96=0,AM96&gt;0),1,0)</formula>
    </cfRule>
  </conditionalFormatting>
  <conditionalFormatting sqref="BT158 BT96 BT109:BT156 BT99:BT103">
    <cfRule type="expression" dxfId="1280" priority="5843" stopIfTrue="1">
      <formula>IF(AND(BY96=0,OR($AA$4-BT96&gt;BY96,$AA$4-BT96&lt;BY96)),1,0)</formula>
    </cfRule>
  </conditionalFormatting>
  <conditionalFormatting sqref="BN158 BN96 BN109:BN156 BN99:BN103">
    <cfRule type="expression" dxfId="1279" priority="5842" stopIfTrue="1">
      <formula>IF(AND(BY96=0,BN96&gt;0),1,0)</formula>
    </cfRule>
  </conditionalFormatting>
  <conditionalFormatting sqref="BI158:BK158 BI129:BK129 BI145:BK145 BI117:BI123 BI125:BI128 BI130:BI141 BJ130:BK144 BJ146:BK156 BI102:BI103 BI96:BK96 BJ109:BK128 BJ99:BK103 BI99:BI100">
    <cfRule type="expression" dxfId="1278" priority="5841" stopIfTrue="1">
      <formula>IF(AND(BR96=0,OR($AA$4-BI96&gt;BR96,$AA$4-BI96&lt;BR96)),1,0)</formula>
    </cfRule>
  </conditionalFormatting>
  <conditionalFormatting sqref="AV158 AJ104:AJ108 AJ95 AJ63:AJ64 AV63:AV64 AV83:AV156 AJ77 AV77">
    <cfRule type="expression" dxfId="1277" priority="5840" stopIfTrue="1">
      <formula>IF(AND(AQ63=0,OR($AA$4-AJ63&gt;0,O$4-AJ63&lt;0)),1,0)</formula>
    </cfRule>
  </conditionalFormatting>
  <conditionalFormatting sqref="BR158 BR96 BR109:BR156 BR99:BR103">
    <cfRule type="expression" dxfId="1276" priority="5839" stopIfTrue="1">
      <formula>IF(AND(BO96=0,OR($AA$4-BR96&gt;BO96,$AA$4-BR96&lt;BO96)),1,0)</formula>
    </cfRule>
  </conditionalFormatting>
  <conditionalFormatting sqref="C158 C96 C109:C156 C99:C103">
    <cfRule type="expression" dxfId="1275" priority="5836" stopIfTrue="1">
      <formula>IF(CY96="Hưu",1,0)</formula>
    </cfRule>
    <cfRule type="expression" dxfId="1274" priority="5837" stopIfTrue="1">
      <formula>IF(CY96="Quá",1,0)</formula>
    </cfRule>
    <cfRule type="expression" dxfId="1273" priority="5838" stopIfTrue="1">
      <formula>IF(BD96="Lùi",1,0)</formula>
    </cfRule>
  </conditionalFormatting>
  <conditionalFormatting sqref="A158 A96 A109:A156 A99:A103">
    <cfRule type="expression" dxfId="1272" priority="5833" stopIfTrue="1">
      <formula>IF(CW96="Hưu",1,0)</formula>
    </cfRule>
    <cfRule type="expression" dxfId="1271" priority="5834" stopIfTrue="1">
      <formula>IF(CW96="Quá",1,0)</formula>
    </cfRule>
    <cfRule type="expression" dxfId="1270" priority="5835" stopIfTrue="1">
      <formula>IF(AM96="Lùi",1,0)</formula>
    </cfRule>
  </conditionalFormatting>
  <conditionalFormatting sqref="AP158 AP96 AP109:AP156 AP99:AP103">
    <cfRule type="cellIs" dxfId="1269" priority="5831" stopIfTrue="1" operator="between">
      <formula>"%"</formula>
      <formula>"%"</formula>
    </cfRule>
    <cfRule type="expression" dxfId="1268" priority="5832" stopIfTrue="1">
      <formula>IF(AO96=AQ96,1,0)</formula>
    </cfRule>
  </conditionalFormatting>
  <conditionalFormatting sqref="CV158 CV151:CV152 CV148:CV149 CV126:CV128 CV131:CV133 CV135:CV137 CV154:CV156 CV139:CV146 CV99 CV109:CV124 CV102">
    <cfRule type="cellIs" dxfId="1267" priority="5828" stopIfTrue="1" operator="between">
      <formula>"Hưu"</formula>
      <formula>"Hưu"</formula>
    </cfRule>
    <cfRule type="cellIs" dxfId="1266" priority="5829" stopIfTrue="1" operator="between">
      <formula>"---"</formula>
      <formula>"---"</formula>
    </cfRule>
    <cfRule type="cellIs" dxfId="1265" priority="5830" stopIfTrue="1" operator="between">
      <formula>"Quá"</formula>
      <formula>"Quá"</formula>
    </cfRule>
  </conditionalFormatting>
  <conditionalFormatting sqref="BG158 BG151:BG152 BG148:BG149 BG131:BG132 BG126:BG128 BG135:BG137 BG154 BG139:BG146 BG99 BG109:BG124 BG102">
    <cfRule type="cellIs" dxfId="1264" priority="5827" stopIfTrue="1" operator="between">
      <formula>4</formula>
      <formula>4</formula>
    </cfRule>
  </conditionalFormatting>
  <conditionalFormatting sqref="BF158 BF151:BF152 BF148:BF149 BF126:BF128 BF131:BF133 BF135:BF137 BF154:BF156 BF139:BF146 BF99 BF109:BF124 BF102">
    <cfRule type="expression" dxfId="1263" priority="5825" stopIfTrue="1">
      <formula>IF(BF99="Đến %",1,0)</formula>
    </cfRule>
    <cfRule type="expression" dxfId="1262" priority="5826" stopIfTrue="1">
      <formula>IF(BF99="Dừng %",1,0)</formula>
    </cfRule>
  </conditionalFormatting>
  <conditionalFormatting sqref="AA158 AA151:AA152 AA126:AA128 AA131:AA133 AA154:AA156 AA135:AA149 AA99 AA109:AA124 AA102">
    <cfRule type="cellIs" dxfId="1261" priority="5823" stopIfTrue="1" operator="between">
      <formula>"Đến $"</formula>
      <formula>"Đến $"</formula>
    </cfRule>
    <cfRule type="cellIs" dxfId="1260" priority="5824" stopIfTrue="1" operator="between">
      <formula>"Dừng $"</formula>
      <formula>"Dừng $"</formula>
    </cfRule>
  </conditionalFormatting>
  <conditionalFormatting sqref="EF158 EF151:EF152 EF148:EF149 EF126:EF128 EF131:EF133 EF135:EF137 EF154:EF156 EF139:EF146 EF99 EF109:EF124 EF102">
    <cfRule type="expression" dxfId="1259" priority="5822" stopIfTrue="1">
      <formula>IF(EF99="Sửa",1,0)</formula>
    </cfRule>
  </conditionalFormatting>
  <conditionalFormatting sqref="AJ96 AJ109:AJ156 AJ99:AJ103 AJ83:AJ94">
    <cfRule type="expression" dxfId="1258" priority="5821" stopIfTrue="1">
      <formula>IF(AND(AP83=0,OR($AA$4-AJ83&gt;0,O$4-AJ83&lt;0)),1,0)</formula>
    </cfRule>
  </conditionalFormatting>
  <conditionalFormatting sqref="O158 O96 O109:O156 O99:O103">
    <cfRule type="expression" dxfId="1257" priority="5820" stopIfTrue="1">
      <formula>IF(P96=0,1,0)</formula>
    </cfRule>
  </conditionalFormatting>
  <conditionalFormatting sqref="N158 N151:N152 N148:N149 N126:N128 N131:N133 N135:N137 N154:N156 N139:N146 N99 N109:N124 N102">
    <cfRule type="cellIs" dxfId="1256" priority="5819" stopIfTrue="1" operator="between">
      <formula>"Ko hạn"</formula>
      <formula>"Ko hạn"</formula>
    </cfRule>
  </conditionalFormatting>
  <conditionalFormatting sqref="Q158 Q96 Q109:Q156 Q99:Q103">
    <cfRule type="expression" dxfId="1255" priority="5818">
      <formula>IF(P96=0,1,0)</formula>
    </cfRule>
  </conditionalFormatting>
  <conditionalFormatting sqref="CV100">
    <cfRule type="cellIs" dxfId="1254" priority="5804" stopIfTrue="1" operator="between">
      <formula>"Hưu"</formula>
      <formula>"Hưu"</formula>
    </cfRule>
    <cfRule type="cellIs" dxfId="1253" priority="5805" stopIfTrue="1" operator="between">
      <formula>"---"</formula>
      <formula>"---"</formula>
    </cfRule>
    <cfRule type="cellIs" dxfId="1252" priority="5806" stopIfTrue="1" operator="between">
      <formula>"Quá"</formula>
      <formula>"Quá"</formula>
    </cfRule>
  </conditionalFormatting>
  <conditionalFormatting sqref="BG100">
    <cfRule type="cellIs" dxfId="1251" priority="5803" stopIfTrue="1" operator="between">
      <formula>4</formula>
      <formula>4</formula>
    </cfRule>
  </conditionalFormatting>
  <conditionalFormatting sqref="BF100">
    <cfRule type="expression" dxfId="1250" priority="5801" stopIfTrue="1">
      <formula>IF(BF100="Đến %",1,0)</formula>
    </cfRule>
    <cfRule type="expression" dxfId="1249" priority="5802" stopIfTrue="1">
      <formula>IF(BF100="Dừng %",1,0)</formula>
    </cfRule>
  </conditionalFormatting>
  <conditionalFormatting sqref="AA100">
    <cfRule type="cellIs" dxfId="1248" priority="5799" stopIfTrue="1" operator="between">
      <formula>"Đến $"</formula>
      <formula>"Đến $"</formula>
    </cfRule>
    <cfRule type="cellIs" dxfId="1247" priority="5800" stopIfTrue="1" operator="between">
      <formula>"Dừng $"</formula>
      <formula>"Dừng $"</formula>
    </cfRule>
  </conditionalFormatting>
  <conditionalFormatting sqref="BX100">
    <cfRule type="cellIs" dxfId="1246" priority="5798" stopIfTrue="1" operator="between">
      <formula>0</formula>
      <formula>13</formula>
    </cfRule>
  </conditionalFormatting>
  <conditionalFormatting sqref="EF100">
    <cfRule type="expression" dxfId="1245" priority="5797" stopIfTrue="1">
      <formula>IF(EF100="Sửa",1,0)</formula>
    </cfRule>
  </conditionalFormatting>
  <conditionalFormatting sqref="N100">
    <cfRule type="cellIs" dxfId="1244" priority="5796" stopIfTrue="1" operator="between">
      <formula>"Ko hạn"</formula>
      <formula>"Ko hạn"</formula>
    </cfRule>
  </conditionalFormatting>
  <conditionalFormatting sqref="CV101">
    <cfRule type="cellIs" dxfId="1243" priority="5793" stopIfTrue="1" operator="between">
      <formula>"Hưu"</formula>
      <formula>"Hưu"</formula>
    </cfRule>
    <cfRule type="cellIs" dxfId="1242" priority="5794" stopIfTrue="1" operator="between">
      <formula>"---"</formula>
      <formula>"---"</formula>
    </cfRule>
    <cfRule type="cellIs" dxfId="1241" priority="5795" stopIfTrue="1" operator="between">
      <formula>"Quá"</formula>
      <formula>"Quá"</formula>
    </cfRule>
  </conditionalFormatting>
  <conditionalFormatting sqref="BG101">
    <cfRule type="cellIs" dxfId="1240" priority="5792" stopIfTrue="1" operator="between">
      <formula>4</formula>
      <formula>4</formula>
    </cfRule>
  </conditionalFormatting>
  <conditionalFormatting sqref="BF101">
    <cfRule type="expression" dxfId="1239" priority="5790" stopIfTrue="1">
      <formula>IF(BF101="Đến %",1,0)</formula>
    </cfRule>
    <cfRule type="expression" dxfId="1238" priority="5791" stopIfTrue="1">
      <formula>IF(BF101="Dừng %",1,0)</formula>
    </cfRule>
  </conditionalFormatting>
  <conditionalFormatting sqref="AA101">
    <cfRule type="cellIs" dxfId="1237" priority="5788" stopIfTrue="1" operator="between">
      <formula>"Đến $"</formula>
      <formula>"Đến $"</formula>
    </cfRule>
    <cfRule type="cellIs" dxfId="1236" priority="5789" stopIfTrue="1" operator="between">
      <formula>"Dừng $"</formula>
      <formula>"Dừng $"</formula>
    </cfRule>
  </conditionalFormatting>
  <conditionalFormatting sqref="BX101">
    <cfRule type="cellIs" dxfId="1235" priority="5787" stopIfTrue="1" operator="between">
      <formula>0</formula>
      <formula>13</formula>
    </cfRule>
  </conditionalFormatting>
  <conditionalFormatting sqref="EF101">
    <cfRule type="expression" dxfId="1234" priority="5786" stopIfTrue="1">
      <formula>IF(EF101="Sửa",1,0)</formula>
    </cfRule>
  </conditionalFormatting>
  <conditionalFormatting sqref="N101">
    <cfRule type="cellIs" dxfId="1233" priority="5785" stopIfTrue="1" operator="between">
      <formula>"Ko hạn"</formula>
      <formula>"Ko hạn"</formula>
    </cfRule>
  </conditionalFormatting>
  <conditionalFormatting sqref="CV96">
    <cfRule type="cellIs" dxfId="1232" priority="5782" stopIfTrue="1" operator="between">
      <formula>"Hưu"</formula>
      <formula>"Hưu"</formula>
    </cfRule>
    <cfRule type="cellIs" dxfId="1231" priority="5783" stopIfTrue="1" operator="between">
      <formula>"---"</formula>
      <formula>"---"</formula>
    </cfRule>
    <cfRule type="cellIs" dxfId="1230" priority="5784" stopIfTrue="1" operator="between">
      <formula>"Quá"</formula>
      <formula>"Quá"</formula>
    </cfRule>
  </conditionalFormatting>
  <conditionalFormatting sqref="BG96">
    <cfRule type="cellIs" dxfId="1229" priority="5781" stopIfTrue="1" operator="between">
      <formula>4</formula>
      <formula>4</formula>
    </cfRule>
  </conditionalFormatting>
  <conditionalFormatting sqref="BF96">
    <cfRule type="expression" dxfId="1228" priority="5779" stopIfTrue="1">
      <formula>IF(BF96="Đến %",1,0)</formula>
    </cfRule>
    <cfRule type="expression" dxfId="1227" priority="5780" stopIfTrue="1">
      <formula>IF(BF96="Dừng %",1,0)</formula>
    </cfRule>
  </conditionalFormatting>
  <conditionalFormatting sqref="AA96">
    <cfRule type="cellIs" dxfId="1226" priority="5777" stopIfTrue="1" operator="between">
      <formula>"Đến $"</formula>
      <formula>"Đến $"</formula>
    </cfRule>
    <cfRule type="cellIs" dxfId="1225" priority="5778" stopIfTrue="1" operator="between">
      <formula>"Dừng $"</formula>
      <formula>"Dừng $"</formula>
    </cfRule>
  </conditionalFormatting>
  <conditionalFormatting sqref="BX96">
    <cfRule type="cellIs" dxfId="1224" priority="5776" stopIfTrue="1" operator="between">
      <formula>0</formula>
      <formula>13</formula>
    </cfRule>
  </conditionalFormatting>
  <conditionalFormatting sqref="EF96">
    <cfRule type="expression" dxfId="1223" priority="5775" stopIfTrue="1">
      <formula>IF(EF96="Sửa",1,0)</formula>
    </cfRule>
  </conditionalFormatting>
  <conditionalFormatting sqref="N96">
    <cfRule type="cellIs" dxfId="1222" priority="5774" stopIfTrue="1" operator="between">
      <formula>"Ko hạn"</formula>
      <formula>"Ko hạn"</formula>
    </cfRule>
  </conditionalFormatting>
  <conditionalFormatting sqref="CV103">
    <cfRule type="cellIs" dxfId="1221" priority="5760" stopIfTrue="1" operator="between">
      <formula>"Hưu"</formula>
      <formula>"Hưu"</formula>
    </cfRule>
    <cfRule type="cellIs" dxfId="1220" priority="5761" stopIfTrue="1" operator="between">
      <formula>"---"</formula>
      <formula>"---"</formula>
    </cfRule>
    <cfRule type="cellIs" dxfId="1219" priority="5762" stopIfTrue="1" operator="between">
      <formula>"Quá"</formula>
      <formula>"Quá"</formula>
    </cfRule>
  </conditionalFormatting>
  <conditionalFormatting sqref="BG103">
    <cfRule type="cellIs" dxfId="1218" priority="5759" stopIfTrue="1" operator="between">
      <formula>4</formula>
      <formula>4</formula>
    </cfRule>
  </conditionalFormatting>
  <conditionalFormatting sqref="BF103">
    <cfRule type="expression" dxfId="1217" priority="5757" stopIfTrue="1">
      <formula>IF(BF103="Đến %",1,0)</formula>
    </cfRule>
    <cfRule type="expression" dxfId="1216" priority="5758" stopIfTrue="1">
      <formula>IF(BF103="Dừng %",1,0)</formula>
    </cfRule>
  </conditionalFormatting>
  <conditionalFormatting sqref="AA103">
    <cfRule type="cellIs" dxfId="1215" priority="5755" stopIfTrue="1" operator="between">
      <formula>"Đến $"</formula>
      <formula>"Đến $"</formula>
    </cfRule>
    <cfRule type="cellIs" dxfId="1214" priority="5756" stopIfTrue="1" operator="between">
      <formula>"Dừng $"</formula>
      <formula>"Dừng $"</formula>
    </cfRule>
  </conditionalFormatting>
  <conditionalFormatting sqref="BX103">
    <cfRule type="cellIs" dxfId="1213" priority="5754" stopIfTrue="1" operator="between">
      <formula>0</formula>
      <formula>13</formula>
    </cfRule>
  </conditionalFormatting>
  <conditionalFormatting sqref="EF103">
    <cfRule type="expression" dxfId="1212" priority="5753" stopIfTrue="1">
      <formula>IF(EF103="Sửa",1,0)</formula>
    </cfRule>
  </conditionalFormatting>
  <conditionalFormatting sqref="N103">
    <cfRule type="cellIs" dxfId="1211" priority="5752" stopIfTrue="1" operator="between">
      <formula>"Ko hạn"</formula>
      <formula>"Ko hạn"</formula>
    </cfRule>
  </conditionalFormatting>
  <conditionalFormatting sqref="CV147">
    <cfRule type="cellIs" dxfId="1210" priority="5749" stopIfTrue="1" operator="between">
      <formula>"Hưu"</formula>
      <formula>"Hưu"</formula>
    </cfRule>
    <cfRule type="cellIs" dxfId="1209" priority="5750" stopIfTrue="1" operator="between">
      <formula>"---"</formula>
      <formula>"---"</formula>
    </cfRule>
    <cfRule type="cellIs" dxfId="1208" priority="5751" stopIfTrue="1" operator="between">
      <formula>"Quá"</formula>
      <formula>"Quá"</formula>
    </cfRule>
  </conditionalFormatting>
  <conditionalFormatting sqref="BG147">
    <cfRule type="cellIs" dxfId="1207" priority="5748" stopIfTrue="1" operator="between">
      <formula>4</formula>
      <formula>4</formula>
    </cfRule>
  </conditionalFormatting>
  <conditionalFormatting sqref="BF147">
    <cfRule type="expression" dxfId="1206" priority="5746" stopIfTrue="1">
      <formula>IF(BF147="Đến %",1,0)</formula>
    </cfRule>
    <cfRule type="expression" dxfId="1205" priority="5747" stopIfTrue="1">
      <formula>IF(BF147="Dừng %",1,0)</formula>
    </cfRule>
  </conditionalFormatting>
  <conditionalFormatting sqref="N147">
    <cfRule type="cellIs" dxfId="1204" priority="5745" stopIfTrue="1" operator="between">
      <formula>"Ko hạn"</formula>
      <formula>"Ko hạn"</formula>
    </cfRule>
  </conditionalFormatting>
  <conditionalFormatting sqref="EF147">
    <cfRule type="expression" dxfId="1203" priority="5744" stopIfTrue="1">
      <formula>IF(EF147="Sửa",1,0)</formula>
    </cfRule>
  </conditionalFormatting>
  <conditionalFormatting sqref="CV138">
    <cfRule type="cellIs" dxfId="1202" priority="5741" stopIfTrue="1" operator="between">
      <formula>"Hưu"</formula>
      <formula>"Hưu"</formula>
    </cfRule>
    <cfRule type="cellIs" dxfId="1201" priority="5742" stopIfTrue="1" operator="between">
      <formula>"---"</formula>
      <formula>"---"</formula>
    </cfRule>
    <cfRule type="cellIs" dxfId="1200" priority="5743" stopIfTrue="1" operator="between">
      <formula>"Quá"</formula>
      <formula>"Quá"</formula>
    </cfRule>
  </conditionalFormatting>
  <conditionalFormatting sqref="BG138">
    <cfRule type="cellIs" dxfId="1199" priority="5740" stopIfTrue="1" operator="between">
      <formula>4</formula>
      <formula>4</formula>
    </cfRule>
  </conditionalFormatting>
  <conditionalFormatting sqref="BF138">
    <cfRule type="expression" dxfId="1198" priority="5738" stopIfTrue="1">
      <formula>IF(BF138="Đến %",1,0)</formula>
    </cfRule>
    <cfRule type="expression" dxfId="1197" priority="5739" stopIfTrue="1">
      <formula>IF(BF138="Dừng %",1,0)</formula>
    </cfRule>
  </conditionalFormatting>
  <conditionalFormatting sqref="BX138">
    <cfRule type="cellIs" dxfId="1196" priority="5737" stopIfTrue="1" operator="between">
      <formula>0</formula>
      <formula>13</formula>
    </cfRule>
  </conditionalFormatting>
  <conditionalFormatting sqref="EF138">
    <cfRule type="expression" dxfId="1195" priority="5736" stopIfTrue="1">
      <formula>IF(EF138="Sửa",1,0)</formula>
    </cfRule>
  </conditionalFormatting>
  <conditionalFormatting sqref="N138">
    <cfRule type="cellIs" dxfId="1194" priority="5735" stopIfTrue="1" operator="between">
      <formula>"Ko hạn"</formula>
      <formula>"Ko hạn"</formula>
    </cfRule>
  </conditionalFormatting>
  <conditionalFormatting sqref="CV150">
    <cfRule type="cellIs" dxfId="1193" priority="5732" stopIfTrue="1" operator="between">
      <formula>"Hưu"</formula>
      <formula>"Hưu"</formula>
    </cfRule>
    <cfRule type="cellIs" dxfId="1192" priority="5733" stopIfTrue="1" operator="between">
      <formula>"---"</formula>
      <formula>"---"</formula>
    </cfRule>
    <cfRule type="cellIs" dxfId="1191" priority="5734" stopIfTrue="1" operator="between">
      <formula>"Quá"</formula>
      <formula>"Quá"</formula>
    </cfRule>
  </conditionalFormatting>
  <conditionalFormatting sqref="BG150">
    <cfRule type="cellIs" dxfId="1190" priority="5731" stopIfTrue="1" operator="between">
      <formula>4</formula>
      <formula>4</formula>
    </cfRule>
  </conditionalFormatting>
  <conditionalFormatting sqref="BF150">
    <cfRule type="expression" dxfId="1189" priority="5729" stopIfTrue="1">
      <formula>IF(BF150="Đến %",1,0)</formula>
    </cfRule>
    <cfRule type="expression" dxfId="1188" priority="5730" stopIfTrue="1">
      <formula>IF(BF150="Dừng %",1,0)</formula>
    </cfRule>
  </conditionalFormatting>
  <conditionalFormatting sqref="AA150">
    <cfRule type="cellIs" dxfId="1187" priority="5727" stopIfTrue="1" operator="between">
      <formula>"Đến $"</formula>
      <formula>"Đến $"</formula>
    </cfRule>
    <cfRule type="cellIs" dxfId="1186" priority="5728" stopIfTrue="1" operator="between">
      <formula>"Dừng $"</formula>
      <formula>"Dừng $"</formula>
    </cfRule>
  </conditionalFormatting>
  <conditionalFormatting sqref="BX150">
    <cfRule type="cellIs" dxfId="1185" priority="5726" stopIfTrue="1" operator="between">
      <formula>0</formula>
      <formula>13</formula>
    </cfRule>
  </conditionalFormatting>
  <conditionalFormatting sqref="EF150">
    <cfRule type="expression" dxfId="1184" priority="5725" stopIfTrue="1">
      <formula>IF(EF150="Sửa",1,0)</formula>
    </cfRule>
  </conditionalFormatting>
  <conditionalFormatting sqref="N150">
    <cfRule type="cellIs" dxfId="1183" priority="5724" stopIfTrue="1" operator="between">
      <formula>"Ko hạn"</formula>
      <formula>"Ko hạn"</formula>
    </cfRule>
  </conditionalFormatting>
  <conditionalFormatting sqref="CV153">
    <cfRule type="cellIs" dxfId="1182" priority="5721" stopIfTrue="1" operator="between">
      <formula>"Hưu"</formula>
      <formula>"Hưu"</formula>
    </cfRule>
    <cfRule type="cellIs" dxfId="1181" priority="5722" stopIfTrue="1" operator="between">
      <formula>"---"</formula>
      <formula>"---"</formula>
    </cfRule>
    <cfRule type="cellIs" dxfId="1180" priority="5723" stopIfTrue="1" operator="between">
      <formula>"Quá"</formula>
      <formula>"Quá"</formula>
    </cfRule>
  </conditionalFormatting>
  <conditionalFormatting sqref="BG153">
    <cfRule type="cellIs" dxfId="1179" priority="5720" stopIfTrue="1" operator="between">
      <formula>4</formula>
      <formula>4</formula>
    </cfRule>
  </conditionalFormatting>
  <conditionalFormatting sqref="BF153">
    <cfRule type="expression" dxfId="1178" priority="5718" stopIfTrue="1">
      <formula>IF(BF153="Đến %",1,0)</formula>
    </cfRule>
    <cfRule type="expression" dxfId="1177" priority="5719" stopIfTrue="1">
      <formula>IF(BF153="Dừng %",1,0)</formula>
    </cfRule>
  </conditionalFormatting>
  <conditionalFormatting sqref="AA153">
    <cfRule type="cellIs" dxfId="1176" priority="5716" stopIfTrue="1" operator="between">
      <formula>"Đến $"</formula>
      <formula>"Đến $"</formula>
    </cfRule>
    <cfRule type="cellIs" dxfId="1175" priority="5717" stopIfTrue="1" operator="between">
      <formula>"Dừng $"</formula>
      <formula>"Dừng $"</formula>
    </cfRule>
  </conditionalFormatting>
  <conditionalFormatting sqref="BX153">
    <cfRule type="cellIs" dxfId="1174" priority="5715" stopIfTrue="1" operator="between">
      <formula>0</formula>
      <formula>13</formula>
    </cfRule>
  </conditionalFormatting>
  <conditionalFormatting sqref="EF153">
    <cfRule type="expression" dxfId="1173" priority="5714" stopIfTrue="1">
      <formula>IF(EF153="Sửa",1,0)</formula>
    </cfRule>
  </conditionalFormatting>
  <conditionalFormatting sqref="N153">
    <cfRule type="cellIs" dxfId="1172" priority="5713" stopIfTrue="1" operator="between">
      <formula>"Ko hạn"</formula>
      <formula>"Ko hạn"</formula>
    </cfRule>
  </conditionalFormatting>
  <conditionalFormatting sqref="CV125">
    <cfRule type="cellIs" dxfId="1171" priority="5710" stopIfTrue="1" operator="between">
      <formula>"Hưu"</formula>
      <formula>"Hưu"</formula>
    </cfRule>
    <cfRule type="cellIs" dxfId="1170" priority="5711" stopIfTrue="1" operator="between">
      <formula>"---"</formula>
      <formula>"---"</formula>
    </cfRule>
    <cfRule type="cellIs" dxfId="1169" priority="5712" stopIfTrue="1" operator="between">
      <formula>"Quá"</formula>
      <formula>"Quá"</formula>
    </cfRule>
  </conditionalFormatting>
  <conditionalFormatting sqref="BG125">
    <cfRule type="cellIs" dxfId="1168" priority="5709" stopIfTrue="1" operator="between">
      <formula>4</formula>
      <formula>4</formula>
    </cfRule>
  </conditionalFormatting>
  <conditionalFormatting sqref="BF125">
    <cfRule type="expression" dxfId="1167" priority="5707" stopIfTrue="1">
      <formula>IF(BF125="Đến %",1,0)</formula>
    </cfRule>
    <cfRule type="expression" dxfId="1166" priority="5708" stopIfTrue="1">
      <formula>IF(BF125="Dừng %",1,0)</formula>
    </cfRule>
  </conditionalFormatting>
  <conditionalFormatting sqref="AA125">
    <cfRule type="cellIs" dxfId="1165" priority="5705" stopIfTrue="1" operator="between">
      <formula>"Đến $"</formula>
      <formula>"Đến $"</formula>
    </cfRule>
    <cfRule type="cellIs" dxfId="1164" priority="5706" stopIfTrue="1" operator="between">
      <formula>"Dừng $"</formula>
      <formula>"Dừng $"</formula>
    </cfRule>
  </conditionalFormatting>
  <conditionalFormatting sqref="BX125">
    <cfRule type="cellIs" dxfId="1163" priority="5704" stopIfTrue="1" operator="between">
      <formula>0</formula>
      <formula>13</formula>
    </cfRule>
  </conditionalFormatting>
  <conditionalFormatting sqref="EF125">
    <cfRule type="expression" dxfId="1162" priority="5703" stopIfTrue="1">
      <formula>IF(EF125="Sửa",1,0)</formula>
    </cfRule>
  </conditionalFormatting>
  <conditionalFormatting sqref="N125">
    <cfRule type="cellIs" dxfId="1161" priority="5702" stopIfTrue="1" operator="between">
      <formula>"Ko hạn"</formula>
      <formula>"Ko hạn"</formula>
    </cfRule>
  </conditionalFormatting>
  <conditionalFormatting sqref="CV130">
    <cfRule type="cellIs" dxfId="1160" priority="5699" stopIfTrue="1" operator="between">
      <formula>"Hưu"</formula>
      <formula>"Hưu"</formula>
    </cfRule>
    <cfRule type="cellIs" dxfId="1159" priority="5700" stopIfTrue="1" operator="between">
      <formula>"---"</formula>
      <formula>"---"</formula>
    </cfRule>
    <cfRule type="cellIs" dxfId="1158" priority="5701" stopIfTrue="1" operator="between">
      <formula>"Quá"</formula>
      <formula>"Quá"</formula>
    </cfRule>
  </conditionalFormatting>
  <conditionalFormatting sqref="BG130">
    <cfRule type="cellIs" dxfId="1157" priority="5698" stopIfTrue="1" operator="between">
      <formula>4</formula>
      <formula>4</formula>
    </cfRule>
  </conditionalFormatting>
  <conditionalFormatting sqref="BF130">
    <cfRule type="expression" dxfId="1156" priority="5696" stopIfTrue="1">
      <formula>IF(BF130="Đến %",1,0)</formula>
    </cfRule>
    <cfRule type="expression" dxfId="1155" priority="5697" stopIfTrue="1">
      <formula>IF(BF130="Dừng %",1,0)</formula>
    </cfRule>
  </conditionalFormatting>
  <conditionalFormatting sqref="AA130">
    <cfRule type="cellIs" dxfId="1154" priority="5694" stopIfTrue="1" operator="between">
      <formula>"Đến $"</formula>
      <formula>"Đến $"</formula>
    </cfRule>
    <cfRule type="cellIs" dxfId="1153" priority="5695" stopIfTrue="1" operator="between">
      <formula>"Dừng $"</formula>
      <formula>"Dừng $"</formula>
    </cfRule>
  </conditionalFormatting>
  <conditionalFormatting sqref="BX130">
    <cfRule type="cellIs" dxfId="1152" priority="5693" stopIfTrue="1" operator="between">
      <formula>0</formula>
      <formula>13</formula>
    </cfRule>
  </conditionalFormatting>
  <conditionalFormatting sqref="EF130">
    <cfRule type="expression" dxfId="1151" priority="5692" stopIfTrue="1">
      <formula>IF(EF130="Sửa",1,0)</formula>
    </cfRule>
  </conditionalFormatting>
  <conditionalFormatting sqref="N130">
    <cfRule type="cellIs" dxfId="1150" priority="5691" stopIfTrue="1" operator="between">
      <formula>"Ko hạn"</formula>
      <formula>"Ko hạn"</formula>
    </cfRule>
  </conditionalFormatting>
  <conditionalFormatting sqref="CV134">
    <cfRule type="cellIs" dxfId="1149" priority="5688" stopIfTrue="1" operator="between">
      <formula>"Hưu"</formula>
      <formula>"Hưu"</formula>
    </cfRule>
    <cfRule type="cellIs" dxfId="1148" priority="5689" stopIfTrue="1" operator="between">
      <formula>"---"</formula>
      <formula>"---"</formula>
    </cfRule>
    <cfRule type="cellIs" dxfId="1147" priority="5690" stopIfTrue="1" operator="between">
      <formula>"Quá"</formula>
      <formula>"Quá"</formula>
    </cfRule>
  </conditionalFormatting>
  <conditionalFormatting sqref="BG134">
    <cfRule type="cellIs" dxfId="1146" priority="5687" stopIfTrue="1" operator="between">
      <formula>4</formula>
      <formula>4</formula>
    </cfRule>
  </conditionalFormatting>
  <conditionalFormatting sqref="BF134">
    <cfRule type="expression" dxfId="1145" priority="5685" stopIfTrue="1">
      <formula>IF(BF134="Đến %",1,0)</formula>
    </cfRule>
    <cfRule type="expression" dxfId="1144" priority="5686" stopIfTrue="1">
      <formula>IF(BF134="Dừng %",1,0)</formula>
    </cfRule>
  </conditionalFormatting>
  <conditionalFormatting sqref="AA134">
    <cfRule type="cellIs" dxfId="1143" priority="5683" stopIfTrue="1" operator="between">
      <formula>"Đến $"</formula>
      <formula>"Đến $"</formula>
    </cfRule>
    <cfRule type="cellIs" dxfId="1142" priority="5684" stopIfTrue="1" operator="between">
      <formula>"Dừng $"</formula>
      <formula>"Dừng $"</formula>
    </cfRule>
  </conditionalFormatting>
  <conditionalFormatting sqref="BX134">
    <cfRule type="cellIs" dxfId="1141" priority="5682" stopIfTrue="1" operator="between">
      <formula>0</formula>
      <formula>13</formula>
    </cfRule>
  </conditionalFormatting>
  <conditionalFormatting sqref="EF134">
    <cfRule type="expression" dxfId="1140" priority="5681" stopIfTrue="1">
      <formula>IF(EF134="Sửa",1,0)</formula>
    </cfRule>
  </conditionalFormatting>
  <conditionalFormatting sqref="N134">
    <cfRule type="cellIs" dxfId="1139" priority="5680" stopIfTrue="1" operator="between">
      <formula>"Ko hạn"</formula>
      <formula>"Ko hạn"</formula>
    </cfRule>
  </conditionalFormatting>
  <conditionalFormatting sqref="CV129">
    <cfRule type="cellIs" dxfId="1138" priority="5677" stopIfTrue="1" operator="between">
      <formula>"Hưu"</formula>
      <formula>"Hưu"</formula>
    </cfRule>
    <cfRule type="cellIs" dxfId="1137" priority="5678" stopIfTrue="1" operator="between">
      <formula>"---"</formula>
      <formula>"---"</formula>
    </cfRule>
    <cfRule type="cellIs" dxfId="1136" priority="5679" stopIfTrue="1" operator="between">
      <formula>"Quá"</formula>
      <formula>"Quá"</formula>
    </cfRule>
  </conditionalFormatting>
  <conditionalFormatting sqref="BG129">
    <cfRule type="cellIs" dxfId="1135" priority="5676" stopIfTrue="1" operator="between">
      <formula>4</formula>
      <formula>4</formula>
    </cfRule>
  </conditionalFormatting>
  <conditionalFormatting sqref="BF129">
    <cfRule type="expression" dxfId="1134" priority="5674" stopIfTrue="1">
      <formula>IF(BF129="Đến %",1,0)</formula>
    </cfRule>
    <cfRule type="expression" dxfId="1133" priority="5675" stopIfTrue="1">
      <formula>IF(BF129="Dừng %",1,0)</formula>
    </cfRule>
  </conditionalFormatting>
  <conditionalFormatting sqref="AA129">
    <cfRule type="cellIs" dxfId="1132" priority="5672" stopIfTrue="1" operator="between">
      <formula>"Đến $"</formula>
      <formula>"Đến $"</formula>
    </cfRule>
    <cfRule type="cellIs" dxfId="1131" priority="5673" stopIfTrue="1" operator="between">
      <formula>"Dừng $"</formula>
      <formula>"Dừng $"</formula>
    </cfRule>
  </conditionalFormatting>
  <conditionalFormatting sqref="BX129">
    <cfRule type="cellIs" dxfId="1130" priority="5671" stopIfTrue="1" operator="between">
      <formula>0</formula>
      <formula>13</formula>
    </cfRule>
  </conditionalFormatting>
  <conditionalFormatting sqref="EF129">
    <cfRule type="expression" dxfId="1129" priority="5670" stopIfTrue="1">
      <formula>IF(EF129="Sửa",1,0)</formula>
    </cfRule>
  </conditionalFormatting>
  <conditionalFormatting sqref="N129">
    <cfRule type="cellIs" dxfId="1128" priority="5669" stopIfTrue="1" operator="between">
      <formula>"Ko hạn"</formula>
      <formula>"Ko hạn"</formula>
    </cfRule>
  </conditionalFormatting>
  <conditionalFormatting sqref="AB159">
    <cfRule type="cellIs" dxfId="1127" priority="5668" stopIfTrue="1" operator="between">
      <formula>0</formula>
      <formula>0</formula>
    </cfRule>
  </conditionalFormatting>
  <conditionalFormatting sqref="CV159">
    <cfRule type="cellIs" dxfId="1126" priority="5665" stopIfTrue="1" operator="between">
      <formula>"Hưu"</formula>
      <formula>"Hưu"</formula>
    </cfRule>
    <cfRule type="cellIs" dxfId="1125" priority="5666" stopIfTrue="1" operator="between">
      <formula>"---"</formula>
      <formula>"---"</formula>
    </cfRule>
    <cfRule type="cellIs" dxfId="1124" priority="5667" stopIfTrue="1" operator="between">
      <formula>"Quá"</formula>
      <formula>"Quá"</formula>
    </cfRule>
  </conditionalFormatting>
  <conditionalFormatting sqref="BG159">
    <cfRule type="cellIs" dxfId="1123" priority="5664" stopIfTrue="1" operator="between">
      <formula>4</formula>
      <formula>4</formula>
    </cfRule>
  </conditionalFormatting>
  <conditionalFormatting sqref="AA159">
    <cfRule type="cellIs" dxfId="1122" priority="5662" stopIfTrue="1" operator="between">
      <formula>"Đến $"</formula>
      <formula>"Đến $"</formula>
    </cfRule>
    <cfRule type="cellIs" dxfId="1121" priority="5663" stopIfTrue="1" operator="between">
      <formula>"Dừng $"</formula>
      <formula>"Dừng $"</formula>
    </cfRule>
  </conditionalFormatting>
  <conditionalFormatting sqref="BX159">
    <cfRule type="cellIs" dxfId="1120" priority="5661" stopIfTrue="1" operator="between">
      <formula>0</formula>
      <formula>13</formula>
    </cfRule>
  </conditionalFormatting>
  <conditionalFormatting sqref="AM159">
    <cfRule type="expression" dxfId="1119" priority="5660" stopIfTrue="1">
      <formula>IF(AND(BC159=0,AM159&gt;0),1,0)</formula>
    </cfRule>
  </conditionalFormatting>
  <conditionalFormatting sqref="E104:E105 V104 E107 L104:S108">
    <cfRule type="expression" dxfId="1118" priority="5658" stopIfTrue="1">
      <formula>IF(CW104="Hưu",1,0)</formula>
    </cfRule>
    <cfRule type="expression" dxfId="1117" priority="5659" stopIfTrue="1">
      <formula>IF(CW104="Quá",1,0)</formula>
    </cfRule>
  </conditionalFormatting>
  <conditionalFormatting sqref="DO106:DO108">
    <cfRule type="expression" dxfId="1116" priority="5655" stopIfTrue="1">
      <formula>IF(FI106="Hưu",1,0)</formula>
    </cfRule>
    <cfRule type="expression" dxfId="1115" priority="5656" stopIfTrue="1">
      <formula>IF(FI106="Quá",1,0)</formula>
    </cfRule>
    <cfRule type="expression" dxfId="1114" priority="5657" stopIfTrue="1">
      <formula>IF(EQ106="Lùi",1,0)</formula>
    </cfRule>
  </conditionalFormatting>
  <conditionalFormatting sqref="DV104:DV105 DV107">
    <cfRule type="expression" dxfId="1113" priority="5653" stopIfTrue="1">
      <formula>IF(FN104="Hưu",1,0)</formula>
    </cfRule>
    <cfRule type="expression" dxfId="1112" priority="5654" stopIfTrue="1">
      <formula>IF(FN104="Quá",1,0)</formula>
    </cfRule>
  </conditionalFormatting>
  <conditionalFormatting sqref="AB104:AB106">
    <cfRule type="cellIs" dxfId="1111" priority="5650" stopIfTrue="1" operator="between">
      <formula>0</formula>
      <formula>0</formula>
    </cfRule>
    <cfRule type="expression" dxfId="1110" priority="5651" stopIfTrue="1">
      <formula>IF(AND(AD104&gt;AB104,AB104&gt;0),1,0)</formula>
    </cfRule>
    <cfRule type="expression" dxfId="1109" priority="5652" stopIfTrue="1">
      <formula>IF(AD104&lt;AB104,1,0)</formula>
    </cfRule>
  </conditionalFormatting>
  <conditionalFormatting sqref="CV104:CV108">
    <cfRule type="cellIs" dxfId="1108" priority="5647" stopIfTrue="1" operator="between">
      <formula>"Hưu"</formula>
      <formula>"Hưu"</formula>
    </cfRule>
    <cfRule type="cellIs" dxfId="1107" priority="5648" stopIfTrue="1" operator="between">
      <formula>"---"</formula>
      <formula>"---"</formula>
    </cfRule>
    <cfRule type="cellIs" dxfId="1106" priority="5649" stopIfTrue="1" operator="between">
      <formula>"Quá"</formula>
      <formula>"Quá"</formula>
    </cfRule>
  </conditionalFormatting>
  <conditionalFormatting sqref="BG108 BG104:BG106">
    <cfRule type="cellIs" dxfId="1105" priority="5646" stopIfTrue="1" operator="between">
      <formula>4</formula>
      <formula>4</formula>
    </cfRule>
  </conditionalFormatting>
  <conditionalFormatting sqref="BF104:BF108">
    <cfRule type="expression" dxfId="1104" priority="5644" stopIfTrue="1">
      <formula>IF(BF104="Đến %",1,0)</formula>
    </cfRule>
    <cfRule type="expression" dxfId="1103" priority="5645" stopIfTrue="1">
      <formula>IF(BF104="Dừng %",1,0)</formula>
    </cfRule>
  </conditionalFormatting>
  <conditionalFormatting sqref="AA104:AA108">
    <cfRule type="cellIs" dxfId="1102" priority="5642" stopIfTrue="1" operator="between">
      <formula>"Đến $"</formula>
      <formula>"Đến $"</formula>
    </cfRule>
    <cfRule type="cellIs" dxfId="1101" priority="5643" stopIfTrue="1" operator="between">
      <formula>"Dừng $"</formula>
      <formula>"Dừng $"</formula>
    </cfRule>
  </conditionalFormatting>
  <conditionalFormatting sqref="BX104:BX108">
    <cfRule type="cellIs" dxfId="1100" priority="5641" stopIfTrue="1" operator="between">
      <formula>0</formula>
      <formula>13</formula>
    </cfRule>
  </conditionalFormatting>
  <conditionalFormatting sqref="AM104:AM108">
    <cfRule type="expression" dxfId="1099" priority="5640" stopIfTrue="1">
      <formula>IF(AND(BC104=0,AM104&gt;0),1,0)</formula>
    </cfRule>
  </conditionalFormatting>
  <conditionalFormatting sqref="EF104:EF108">
    <cfRule type="expression" dxfId="1098" priority="5639" stopIfTrue="1">
      <formula>IF(EF104="Sửa",1,0)</formula>
    </cfRule>
  </conditionalFormatting>
  <conditionalFormatting sqref="BT104:BT108">
    <cfRule type="expression" dxfId="1097" priority="5638" stopIfTrue="1">
      <formula>IF(AND(BY104=0,OR($AA$4-BT104&gt;BY104,$AA$4-BT104&lt;BY104)),1,0)</formula>
    </cfRule>
  </conditionalFormatting>
  <conditionalFormatting sqref="BN104:BN108">
    <cfRule type="expression" dxfId="1096" priority="5637" stopIfTrue="1">
      <formula>IF(AND(BY104=0,BN104&gt;0),1,0)</formula>
    </cfRule>
  </conditionalFormatting>
  <conditionalFormatting sqref="BI104 BJ104:BK108">
    <cfRule type="expression" dxfId="1095" priority="5636" stopIfTrue="1">
      <formula>IF(AND(BR104=0,OR($AA$4-BI104&gt;BR104,$AA$4-BI104&lt;BR104)),1,0)</formula>
    </cfRule>
  </conditionalFormatting>
  <conditionalFormatting sqref="BR104:BR108">
    <cfRule type="expression" dxfId="1094" priority="5635" stopIfTrue="1">
      <formula>IF(AND(BO104=0,OR($AA$4-BR104&gt;BO104,$AA$4-BR104&lt;BO104)),1,0)</formula>
    </cfRule>
  </conditionalFormatting>
  <conditionalFormatting sqref="C104:C108">
    <cfRule type="expression" dxfId="1093" priority="5632" stopIfTrue="1">
      <formula>IF(CY104="Hưu",1,0)</formula>
    </cfRule>
    <cfRule type="expression" dxfId="1092" priority="5633" stopIfTrue="1">
      <formula>IF(CY104="Quá",1,0)</formula>
    </cfRule>
    <cfRule type="expression" dxfId="1091" priority="5634" stopIfTrue="1">
      <formula>IF(BD104="Lùi",1,0)</formula>
    </cfRule>
  </conditionalFormatting>
  <conditionalFormatting sqref="A104:A108">
    <cfRule type="expression" dxfId="1090" priority="5629" stopIfTrue="1">
      <formula>IF(CW104="Hưu",1,0)</formula>
    </cfRule>
    <cfRule type="expression" dxfId="1089" priority="5630" stopIfTrue="1">
      <formula>IF(CW104="Quá",1,0)</formula>
    </cfRule>
    <cfRule type="expression" dxfId="1088" priority="5631" stopIfTrue="1">
      <formula>IF(AM104="Lùi",1,0)</formula>
    </cfRule>
  </conditionalFormatting>
  <conditionalFormatting sqref="AG104:AG105 AG107">
    <cfRule type="cellIs" dxfId="1087" priority="5627" stopIfTrue="1" operator="between">
      <formula>"%"</formula>
      <formula>"%"</formula>
    </cfRule>
    <cfRule type="expression" dxfId="1086" priority="5628" stopIfTrue="1">
      <formula>IF(AF104=AQ104,1,0)</formula>
    </cfRule>
  </conditionalFormatting>
  <conditionalFormatting sqref="E63:E64 V63 L63:S64">
    <cfRule type="expression" dxfId="1085" priority="5623" stopIfTrue="1">
      <formula>IF(CW63="Hưu",1,0)</formula>
    </cfRule>
    <cfRule type="expression" dxfId="1084" priority="5624" stopIfTrue="1">
      <formula>IF(CW63="Quá",1,0)</formula>
    </cfRule>
  </conditionalFormatting>
  <conditionalFormatting sqref="DV63:DV64">
    <cfRule type="expression" dxfId="1083" priority="5618" stopIfTrue="1">
      <formula>IF(FN63="Hưu",1,0)</formula>
    </cfRule>
    <cfRule type="expression" dxfId="1082" priority="5619" stopIfTrue="1">
      <formula>IF(FN63="Quá",1,0)</formula>
    </cfRule>
  </conditionalFormatting>
  <conditionalFormatting sqref="AB63:AB64">
    <cfRule type="cellIs" dxfId="1081" priority="5615" stopIfTrue="1" operator="between">
      <formula>0</formula>
      <formula>0</formula>
    </cfRule>
    <cfRule type="expression" dxfId="1080" priority="5616" stopIfTrue="1">
      <formula>IF(AND(AD63&gt;AB63,AB63&gt;0),1,0)</formula>
    </cfRule>
    <cfRule type="expression" dxfId="1079" priority="5617" stopIfTrue="1">
      <formula>IF(AD63&lt;AB63,1,0)</formula>
    </cfRule>
  </conditionalFormatting>
  <conditionalFormatting sqref="CV63:CV64">
    <cfRule type="cellIs" dxfId="1078" priority="5612" stopIfTrue="1" operator="between">
      <formula>"Hưu"</formula>
      <formula>"Hưu"</formula>
    </cfRule>
    <cfRule type="cellIs" dxfId="1077" priority="5613" stopIfTrue="1" operator="between">
      <formula>"---"</formula>
      <formula>"---"</formula>
    </cfRule>
    <cfRule type="cellIs" dxfId="1076" priority="5614" stopIfTrue="1" operator="between">
      <formula>"Quá"</formula>
      <formula>"Quá"</formula>
    </cfRule>
  </conditionalFormatting>
  <conditionalFormatting sqref="BG63:BG64">
    <cfRule type="cellIs" dxfId="1075" priority="5611" stopIfTrue="1" operator="between">
      <formula>4</formula>
      <formula>4</formula>
    </cfRule>
  </conditionalFormatting>
  <conditionalFormatting sqref="BF63:BF64">
    <cfRule type="expression" dxfId="1074" priority="5609" stopIfTrue="1">
      <formula>IF(BF63="Đến %",1,0)</formula>
    </cfRule>
    <cfRule type="expression" dxfId="1073" priority="5610" stopIfTrue="1">
      <formula>IF(BF63="Dừng %",1,0)</formula>
    </cfRule>
  </conditionalFormatting>
  <conditionalFormatting sqref="AA63:AA64">
    <cfRule type="cellIs" dxfId="1072" priority="5607" stopIfTrue="1" operator="between">
      <formula>"Đến $"</formula>
      <formula>"Đến $"</formula>
    </cfRule>
    <cfRule type="cellIs" dxfId="1071" priority="5608" stopIfTrue="1" operator="between">
      <formula>"Dừng $"</formula>
      <formula>"Dừng $"</formula>
    </cfRule>
  </conditionalFormatting>
  <conditionalFormatting sqref="BX63:BX64">
    <cfRule type="cellIs" dxfId="1070" priority="5606" stopIfTrue="1" operator="between">
      <formula>0</formula>
      <formula>13</formula>
    </cfRule>
  </conditionalFormatting>
  <conditionalFormatting sqref="AM63:AM64">
    <cfRule type="expression" dxfId="1069" priority="5605" stopIfTrue="1">
      <formula>IF(AND(BC63=0,AM63&gt;0),1,0)</formula>
    </cfRule>
  </conditionalFormatting>
  <conditionalFormatting sqref="EF63:EF64">
    <cfRule type="expression" dxfId="1068" priority="5604" stopIfTrue="1">
      <formula>IF(EF63="Sửa",1,0)</formula>
    </cfRule>
  </conditionalFormatting>
  <conditionalFormatting sqref="BT63:BT64">
    <cfRule type="expression" dxfId="1067" priority="5603" stopIfTrue="1">
      <formula>IF(AND(BY63=0,OR($AA$4-BT63&gt;BY63,$AA$4-BT63&lt;BY63)),1,0)</formula>
    </cfRule>
  </conditionalFormatting>
  <conditionalFormatting sqref="BN63:BN64">
    <cfRule type="expression" dxfId="1066" priority="5602" stopIfTrue="1">
      <formula>IF(AND(BY63=0,BN63&gt;0),1,0)</formula>
    </cfRule>
  </conditionalFormatting>
  <conditionalFormatting sqref="BI63 BJ63:BK64">
    <cfRule type="expression" dxfId="1065" priority="5601" stopIfTrue="1">
      <formula>IF(AND(BR63=0,OR($AA$4-BI63&gt;BR63,$AA$4-BI63&lt;BR63)),1,0)</formula>
    </cfRule>
  </conditionalFormatting>
  <conditionalFormatting sqref="BR63:BR64">
    <cfRule type="expression" dxfId="1064" priority="5591" stopIfTrue="1">
      <formula>IF(AND(BO63=0,OR($AA$4-BR63&gt;BO63,$AA$4-BR63&lt;BO63)),1,0)</formula>
    </cfRule>
  </conditionalFormatting>
  <conditionalFormatting sqref="C63:C64">
    <cfRule type="expression" dxfId="1063" priority="5588" stopIfTrue="1">
      <formula>IF(CY63="Hưu",1,0)</formula>
    </cfRule>
    <cfRule type="expression" dxfId="1062" priority="5589" stopIfTrue="1">
      <formula>IF(CY63="Quá",1,0)</formula>
    </cfRule>
    <cfRule type="expression" dxfId="1061" priority="5590" stopIfTrue="1">
      <formula>IF(BD63="Lùi",1,0)</formula>
    </cfRule>
  </conditionalFormatting>
  <conditionalFormatting sqref="A63:A64">
    <cfRule type="expression" dxfId="1060" priority="5585" stopIfTrue="1">
      <formula>IF(CW63="Hưu",1,0)</formula>
    </cfRule>
    <cfRule type="expression" dxfId="1059" priority="5586" stopIfTrue="1">
      <formula>IF(CW63="Quá",1,0)</formula>
    </cfRule>
    <cfRule type="expression" dxfId="1058" priority="5587" stopIfTrue="1">
      <formula>IF(AM63="Lùi",1,0)</formula>
    </cfRule>
  </conditionalFormatting>
  <conditionalFormatting sqref="AG63:AG64">
    <cfRule type="cellIs" dxfId="1057" priority="5574" stopIfTrue="1" operator="between">
      <formula>"%"</formula>
      <formula>"%"</formula>
    </cfRule>
    <cfRule type="expression" dxfId="1056" priority="5575" stopIfTrue="1">
      <formula>IF(AF63=AQ63,1,0)</formula>
    </cfRule>
  </conditionalFormatting>
  <conditionalFormatting sqref="AP97">
    <cfRule type="cellIs" dxfId="1055" priority="5560" stopIfTrue="1" operator="between">
      <formula>"%"</formula>
      <formula>"%"</formula>
    </cfRule>
    <cfRule type="expression" dxfId="1054" priority="5561" stopIfTrue="1">
      <formula>IF(AO97=AQ97,1,0)</formula>
    </cfRule>
  </conditionalFormatting>
  <conditionalFormatting sqref="O97">
    <cfRule type="expression" dxfId="1053" priority="5559" stopIfTrue="1">
      <formula>IF(P97=0,1,0)</formula>
    </cfRule>
  </conditionalFormatting>
  <conditionalFormatting sqref="E97">
    <cfRule type="expression" dxfId="1052" priority="5557" stopIfTrue="1">
      <formula>IF(CW97="Hưu",1,0)</formula>
    </cfRule>
    <cfRule type="expression" dxfId="1051" priority="5558" stopIfTrue="1">
      <formula>IF(CW97="Quá",1,0)</formula>
    </cfRule>
  </conditionalFormatting>
  <conditionalFormatting sqref="DO97">
    <cfRule type="expression" dxfId="1050" priority="5554" stopIfTrue="1">
      <formula>IF(FI97="Hưu",1,0)</formula>
    </cfRule>
    <cfRule type="expression" dxfId="1049" priority="5555" stopIfTrue="1">
      <formula>IF(FI97="Quá",1,0)</formula>
    </cfRule>
    <cfRule type="expression" dxfId="1048" priority="5556" stopIfTrue="1">
      <formula>IF(EQ97="Lùi",1,0)</formula>
    </cfRule>
  </conditionalFormatting>
  <conditionalFormatting sqref="DV97">
    <cfRule type="expression" dxfId="1047" priority="5552" stopIfTrue="1">
      <formula>IF(FN97="Hưu",1,0)</formula>
    </cfRule>
    <cfRule type="expression" dxfId="1046" priority="5553" stopIfTrue="1">
      <formula>IF(FN97="Quá",1,0)</formula>
    </cfRule>
  </conditionalFormatting>
  <conditionalFormatting sqref="AB97">
    <cfRule type="cellIs" dxfId="1045" priority="5549" stopIfTrue="1" operator="between">
      <formula>0</formula>
      <formula>0</formula>
    </cfRule>
    <cfRule type="expression" dxfId="1044" priority="5550" stopIfTrue="1">
      <formula>IF(AND(AD97&gt;AB97,AB97&gt;0),1,0)</formula>
    </cfRule>
    <cfRule type="expression" dxfId="1043" priority="5551" stopIfTrue="1">
      <formula>IF(AD97&lt;AB97,1,0)</formula>
    </cfRule>
  </conditionalFormatting>
  <conditionalFormatting sqref="CV97">
    <cfRule type="cellIs" dxfId="1042" priority="5546" stopIfTrue="1" operator="between">
      <formula>"Hưu"</formula>
      <formula>"Hưu"</formula>
    </cfRule>
    <cfRule type="cellIs" dxfId="1041" priority="5547" stopIfTrue="1" operator="between">
      <formula>"---"</formula>
      <formula>"---"</formula>
    </cfRule>
    <cfRule type="cellIs" dxfId="1040" priority="5548" stopIfTrue="1" operator="between">
      <formula>"Quá"</formula>
      <formula>"Quá"</formula>
    </cfRule>
  </conditionalFormatting>
  <conditionalFormatting sqref="BG97">
    <cfRule type="cellIs" dxfId="1039" priority="5545" stopIfTrue="1" operator="between">
      <formula>4</formula>
      <formula>4</formula>
    </cfRule>
  </conditionalFormatting>
  <conditionalFormatting sqref="BF97">
    <cfRule type="expression" dxfId="1038" priority="5543" stopIfTrue="1">
      <formula>IF(BF97="Đến %",1,0)</formula>
    </cfRule>
    <cfRule type="expression" dxfId="1037" priority="5544" stopIfTrue="1">
      <formula>IF(BF97="Dừng %",1,0)</formula>
    </cfRule>
  </conditionalFormatting>
  <conditionalFormatting sqref="AA97">
    <cfRule type="cellIs" dxfId="1036" priority="5541" stopIfTrue="1" operator="between">
      <formula>"Đến $"</formula>
      <formula>"Đến $"</formula>
    </cfRule>
    <cfRule type="cellIs" dxfId="1035" priority="5542" stopIfTrue="1" operator="between">
      <formula>"Dừng $"</formula>
      <formula>"Dừng $"</formula>
    </cfRule>
  </conditionalFormatting>
  <conditionalFormatting sqref="BX97">
    <cfRule type="cellIs" dxfId="1034" priority="5540" stopIfTrue="1" operator="between">
      <formula>0</formula>
      <formula>13</formula>
    </cfRule>
  </conditionalFormatting>
  <conditionalFormatting sqref="AM97">
    <cfRule type="expression" dxfId="1033" priority="5539" stopIfTrue="1">
      <formula>IF(AND(BC97=0,AM97&gt;0),1,0)</formula>
    </cfRule>
  </conditionalFormatting>
  <conditionalFormatting sqref="EF97">
    <cfRule type="expression" dxfId="1032" priority="5538" stopIfTrue="1">
      <formula>IF(EF97="Sửa",1,0)</formula>
    </cfRule>
  </conditionalFormatting>
  <conditionalFormatting sqref="N97">
    <cfRule type="cellIs" dxfId="1031" priority="5537" stopIfTrue="1" operator="between">
      <formula>"Ko hạn"</formula>
      <formula>"Ko hạn"</formula>
    </cfRule>
  </conditionalFormatting>
  <conditionalFormatting sqref="BT97">
    <cfRule type="expression" dxfId="1030" priority="5536" stopIfTrue="1">
      <formula>IF(AND(BY97=0,OR($AA$4-BT97&gt;BY97,$AA$4-BT97&lt;BY97)),1,0)</formula>
    </cfRule>
  </conditionalFormatting>
  <conditionalFormatting sqref="BN97">
    <cfRule type="expression" dxfId="1029" priority="5535" stopIfTrue="1">
      <formula>IF(AND(BY97=0,BN97&gt;0),1,0)</formula>
    </cfRule>
  </conditionalFormatting>
  <conditionalFormatting sqref="Q97">
    <cfRule type="expression" dxfId="1028" priority="5534">
      <formula>IF(P97=0,1,0)</formula>
    </cfRule>
  </conditionalFormatting>
  <conditionalFormatting sqref="BJ97:BK97">
    <cfRule type="expression" dxfId="1027" priority="5533" stopIfTrue="1">
      <formula>IF(AND(BS97=0,OR($AA$4-BJ97&gt;BS97,$AA$4-BJ97&lt;BS97)),1,0)</formula>
    </cfRule>
  </conditionalFormatting>
  <conditionalFormatting sqref="BR97">
    <cfRule type="expression" dxfId="1026" priority="5532" stopIfTrue="1">
      <formula>IF(AND(BO97=0,OR($AA$4-BR97&gt;BO97,$AA$4-BR97&lt;BO97)),1,0)</formula>
    </cfRule>
  </conditionalFormatting>
  <conditionalFormatting sqref="C97">
    <cfRule type="expression" dxfId="1025" priority="5529" stopIfTrue="1">
      <formula>IF(CY97="Hưu",1,0)</formula>
    </cfRule>
    <cfRule type="expression" dxfId="1024" priority="5530" stopIfTrue="1">
      <formula>IF(CY97="Quá",1,0)</formula>
    </cfRule>
    <cfRule type="expression" dxfId="1023" priority="5531" stopIfTrue="1">
      <formula>IF(BD97="Lùi",1,0)</formula>
    </cfRule>
  </conditionalFormatting>
  <conditionalFormatting sqref="A97">
    <cfRule type="expression" dxfId="1022" priority="5526" stopIfTrue="1">
      <formula>IF(CW97="Hưu",1,0)</formula>
    </cfRule>
    <cfRule type="expression" dxfId="1021" priority="5527" stopIfTrue="1">
      <formula>IF(CW97="Quá",1,0)</formula>
    </cfRule>
    <cfRule type="expression" dxfId="1020" priority="5528" stopIfTrue="1">
      <formula>IF(AM97="Lùi",1,0)</formula>
    </cfRule>
  </conditionalFormatting>
  <conditionalFormatting sqref="AP98">
    <cfRule type="cellIs" dxfId="1019" priority="5524" stopIfTrue="1" operator="between">
      <formula>"%"</formula>
      <formula>"%"</formula>
    </cfRule>
    <cfRule type="expression" dxfId="1018" priority="5525" stopIfTrue="1">
      <formula>IF(AO98=AQ98,1,0)</formula>
    </cfRule>
  </conditionalFormatting>
  <conditionalFormatting sqref="O98">
    <cfRule type="expression" dxfId="1017" priority="5523" stopIfTrue="1">
      <formula>IF(P98=0,1,0)</formula>
    </cfRule>
  </conditionalFormatting>
  <conditionalFormatting sqref="E98">
    <cfRule type="expression" dxfId="1016" priority="5521" stopIfTrue="1">
      <formula>IF(CW98="Hưu",1,0)</formula>
    </cfRule>
    <cfRule type="expression" dxfId="1015" priority="5522" stopIfTrue="1">
      <formula>IF(CW98="Quá",1,0)</formula>
    </cfRule>
  </conditionalFormatting>
  <conditionalFormatting sqref="DV98">
    <cfRule type="expression" dxfId="1014" priority="5519" stopIfTrue="1">
      <formula>IF(FN98="Hưu",1,0)</formula>
    </cfRule>
    <cfRule type="expression" dxfId="1013" priority="5520" stopIfTrue="1">
      <formula>IF(FN98="Quá",1,0)</formula>
    </cfRule>
  </conditionalFormatting>
  <conditionalFormatting sqref="AB98">
    <cfRule type="cellIs" dxfId="1012" priority="5516" stopIfTrue="1" operator="between">
      <formula>0</formula>
      <formula>0</formula>
    </cfRule>
    <cfRule type="expression" dxfId="1011" priority="5517" stopIfTrue="1">
      <formula>IF(AND(AD98&gt;AB98,AB98&gt;0),1,0)</formula>
    </cfRule>
    <cfRule type="expression" dxfId="1010" priority="5518" stopIfTrue="1">
      <formula>IF(AD98&lt;AB98,1,0)</formula>
    </cfRule>
  </conditionalFormatting>
  <conditionalFormatting sqref="CV98">
    <cfRule type="cellIs" dxfId="1009" priority="5513" stopIfTrue="1" operator="between">
      <formula>"Hưu"</formula>
      <formula>"Hưu"</formula>
    </cfRule>
    <cfRule type="cellIs" dxfId="1008" priority="5514" stopIfTrue="1" operator="between">
      <formula>"---"</formula>
      <formula>"---"</formula>
    </cfRule>
    <cfRule type="cellIs" dxfId="1007" priority="5515" stopIfTrue="1" operator="between">
      <formula>"Quá"</formula>
      <formula>"Quá"</formula>
    </cfRule>
  </conditionalFormatting>
  <conditionalFormatting sqref="BG98">
    <cfRule type="cellIs" dxfId="1006" priority="5512" stopIfTrue="1" operator="between">
      <formula>4</formula>
      <formula>4</formula>
    </cfRule>
  </conditionalFormatting>
  <conditionalFormatting sqref="BF98">
    <cfRule type="expression" dxfId="1005" priority="5510" stopIfTrue="1">
      <formula>IF(BF98="Đến %",1,0)</formula>
    </cfRule>
    <cfRule type="expression" dxfId="1004" priority="5511" stopIfTrue="1">
      <formula>IF(BF98="Dừng %",1,0)</formula>
    </cfRule>
  </conditionalFormatting>
  <conditionalFormatting sqref="AA98">
    <cfRule type="cellIs" dxfId="1003" priority="5508" stopIfTrue="1" operator="between">
      <formula>"Đến $"</formula>
      <formula>"Đến $"</formula>
    </cfRule>
    <cfRule type="cellIs" dxfId="1002" priority="5509" stopIfTrue="1" operator="between">
      <formula>"Dừng $"</formula>
      <formula>"Dừng $"</formula>
    </cfRule>
  </conditionalFormatting>
  <conditionalFormatting sqref="BX98">
    <cfRule type="cellIs" dxfId="1001" priority="5507" stopIfTrue="1" operator="between">
      <formula>0</formula>
      <formula>13</formula>
    </cfRule>
  </conditionalFormatting>
  <conditionalFormatting sqref="AM98">
    <cfRule type="expression" dxfId="1000" priority="5506" stopIfTrue="1">
      <formula>IF(AND(BC98=0,AM98&gt;0),1,0)</formula>
    </cfRule>
  </conditionalFormatting>
  <conditionalFormatting sqref="EF98">
    <cfRule type="expression" dxfId="999" priority="5505" stopIfTrue="1">
      <formula>IF(EF98="Sửa",1,0)</formula>
    </cfRule>
  </conditionalFormatting>
  <conditionalFormatting sqref="N98">
    <cfRule type="cellIs" dxfId="998" priority="5504" stopIfTrue="1" operator="between">
      <formula>"Ko hạn"</formula>
      <formula>"Ko hạn"</formula>
    </cfRule>
  </conditionalFormatting>
  <conditionalFormatting sqref="BT98">
    <cfRule type="expression" dxfId="997" priority="5503" stopIfTrue="1">
      <formula>IF(AND(BY98=0,OR($AA$4-BT98&gt;BY98,$AA$4-BT98&lt;BY98)),1,0)</formula>
    </cfRule>
  </conditionalFormatting>
  <conditionalFormatting sqref="BN98">
    <cfRule type="expression" dxfId="996" priority="5502" stopIfTrue="1">
      <formula>IF(AND(BY98=0,BN98&gt;0),1,0)</formula>
    </cfRule>
  </conditionalFormatting>
  <conditionalFormatting sqref="Q98">
    <cfRule type="expression" dxfId="995" priority="5501">
      <formula>IF(P98=0,1,0)</formula>
    </cfRule>
  </conditionalFormatting>
  <conditionalFormatting sqref="BJ98:BK98">
    <cfRule type="expression" dxfId="994" priority="5500" stopIfTrue="1">
      <formula>IF(AND(BS98=0,OR($AA$4-BJ98&gt;BS98,$AA$4-BJ98&lt;BS98)),1,0)</formula>
    </cfRule>
  </conditionalFormatting>
  <conditionalFormatting sqref="BR98">
    <cfRule type="expression" dxfId="993" priority="5499" stopIfTrue="1">
      <formula>IF(AND(BO98=0,OR($AA$4-BR98&gt;BO98,$AA$4-BR98&lt;BO98)),1,0)</formula>
    </cfRule>
  </conditionalFormatting>
  <conditionalFormatting sqref="C98">
    <cfRule type="expression" dxfId="992" priority="5496" stopIfTrue="1">
      <formula>IF(CY98="Hưu",1,0)</formula>
    </cfRule>
    <cfRule type="expression" dxfId="991" priority="5497" stopIfTrue="1">
      <formula>IF(CY98="Quá",1,0)</formula>
    </cfRule>
    <cfRule type="expression" dxfId="990" priority="5498" stopIfTrue="1">
      <formula>IF(BD98="Lùi",1,0)</formula>
    </cfRule>
  </conditionalFormatting>
  <conditionalFormatting sqref="A98">
    <cfRule type="expression" dxfId="989" priority="5493" stopIfTrue="1">
      <formula>IF(CW98="Hưu",1,0)</formula>
    </cfRule>
    <cfRule type="expression" dxfId="988" priority="5494" stopIfTrue="1">
      <formula>IF(CW98="Quá",1,0)</formula>
    </cfRule>
    <cfRule type="expression" dxfId="987" priority="5495" stopIfTrue="1">
      <formula>IF(AM98="Lùi",1,0)</formula>
    </cfRule>
  </conditionalFormatting>
  <conditionalFormatting sqref="AP95">
    <cfRule type="cellIs" dxfId="986" priority="5251" stopIfTrue="1" operator="between">
      <formula>"%"</formula>
      <formula>"%"</formula>
    </cfRule>
    <cfRule type="expression" dxfId="985" priority="5252" stopIfTrue="1">
      <formula>IF(AO95=AQ95,1,0)</formula>
    </cfRule>
  </conditionalFormatting>
  <conditionalFormatting sqref="E95 L95:S95">
    <cfRule type="expression" dxfId="984" priority="5249" stopIfTrue="1">
      <formula>IF(CW95="Hưu",1,0)</formula>
    </cfRule>
    <cfRule type="expression" dxfId="983" priority="5250" stopIfTrue="1">
      <formula>IF(CW95="Quá",1,0)</formula>
    </cfRule>
  </conditionalFormatting>
  <conditionalFormatting sqref="DV95">
    <cfRule type="expression" dxfId="982" priority="5244" stopIfTrue="1">
      <formula>IF(FN95="Hưu",1,0)</formula>
    </cfRule>
    <cfRule type="expression" dxfId="981" priority="5245" stopIfTrue="1">
      <formula>IF(FN95="Quá",1,0)</formula>
    </cfRule>
  </conditionalFormatting>
  <conditionalFormatting sqref="AB95">
    <cfRule type="cellIs" dxfId="980" priority="5241" stopIfTrue="1" operator="between">
      <formula>0</formula>
      <formula>0</formula>
    </cfRule>
    <cfRule type="expression" dxfId="979" priority="5242" stopIfTrue="1">
      <formula>IF(AND(AD95&gt;AB95,AB95&gt;0),1,0)</formula>
    </cfRule>
    <cfRule type="expression" dxfId="978" priority="5243" stopIfTrue="1">
      <formula>IF(AD95&lt;AB95,1,0)</formula>
    </cfRule>
  </conditionalFormatting>
  <conditionalFormatting sqref="AM95">
    <cfRule type="expression" dxfId="977" priority="5231" stopIfTrue="1">
      <formula>IF(AND(BC95=0,AM95&gt;0),1,0)</formula>
    </cfRule>
  </conditionalFormatting>
  <conditionalFormatting sqref="BT95">
    <cfRule type="expression" dxfId="976" priority="5229" stopIfTrue="1">
      <formula>IF(AND(BY95=0,OR($AA$4-BT95&gt;BY95,$AA$4-BT95&lt;BY95)),1,0)</formula>
    </cfRule>
  </conditionalFormatting>
  <conditionalFormatting sqref="BN95">
    <cfRule type="expression" dxfId="975" priority="5228" stopIfTrue="1">
      <formula>IF(AND(BY95=0,BN95&gt;0),1,0)</formula>
    </cfRule>
  </conditionalFormatting>
  <conditionalFormatting sqref="CV95">
    <cfRule type="cellIs" dxfId="974" priority="5225" stopIfTrue="1" operator="between">
      <formula>"Hưu"</formula>
      <formula>"Hưu"</formula>
    </cfRule>
    <cfRule type="cellIs" dxfId="973" priority="5226" stopIfTrue="1" operator="between">
      <formula>"---"</formula>
      <formula>"---"</formula>
    </cfRule>
    <cfRule type="cellIs" dxfId="972" priority="5227" stopIfTrue="1" operator="between">
      <formula>"Quá"</formula>
      <formula>"Quá"</formula>
    </cfRule>
  </conditionalFormatting>
  <conditionalFormatting sqref="BG95">
    <cfRule type="cellIs" dxfId="971" priority="5224" stopIfTrue="1" operator="between">
      <formula>4</formula>
      <formula>4</formula>
    </cfRule>
  </conditionalFormatting>
  <conditionalFormatting sqref="BF95">
    <cfRule type="expression" dxfId="970" priority="5222" stopIfTrue="1">
      <formula>IF(BF95="Đến %",1,0)</formula>
    </cfRule>
    <cfRule type="expression" dxfId="969" priority="5223" stopIfTrue="1">
      <formula>IF(BF95="Dừng %",1,0)</formula>
    </cfRule>
  </conditionalFormatting>
  <conditionalFormatting sqref="AA95">
    <cfRule type="cellIs" dxfId="968" priority="5220" stopIfTrue="1" operator="between">
      <formula>"Đến $"</formula>
      <formula>"Đến $"</formula>
    </cfRule>
    <cfRule type="cellIs" dxfId="967" priority="5221" stopIfTrue="1" operator="between">
      <formula>"Dừng $"</formula>
      <formula>"Dừng $"</formula>
    </cfRule>
  </conditionalFormatting>
  <conditionalFormatting sqref="BX95">
    <cfRule type="cellIs" dxfId="966" priority="5219" stopIfTrue="1" operator="between">
      <formula>0</formula>
      <formula>13</formula>
    </cfRule>
  </conditionalFormatting>
  <conditionalFormatting sqref="EF95">
    <cfRule type="expression" dxfId="965" priority="5218" stopIfTrue="1">
      <formula>IF(EF95="Sửa",1,0)</formula>
    </cfRule>
  </conditionalFormatting>
  <conditionalFormatting sqref="BJ95:BK95">
    <cfRule type="expression" dxfId="964" priority="5207" stopIfTrue="1">
      <formula>IF(AND(BS95=0,OR($AA$4-BJ95&gt;BS95,$AA$4-BJ95&lt;BS95)),1,0)</formula>
    </cfRule>
  </conditionalFormatting>
  <conditionalFormatting sqref="BR95">
    <cfRule type="expression" dxfId="963" priority="5186" stopIfTrue="1">
      <formula>IF(AND(BO95=0,OR($AA$4-BR95&gt;BO95,$AA$4-BR95&lt;BO95)),1,0)</formula>
    </cfRule>
  </conditionalFormatting>
  <conditionalFormatting sqref="C95">
    <cfRule type="expression" dxfId="962" priority="5183" stopIfTrue="1">
      <formula>IF(CY95="Hưu",1,0)</formula>
    </cfRule>
    <cfRule type="expression" dxfId="961" priority="5184" stopIfTrue="1">
      <formula>IF(CY95="Quá",1,0)</formula>
    </cfRule>
    <cfRule type="expression" dxfId="960" priority="5185" stopIfTrue="1">
      <formula>IF(BD95="Lùi",1,0)</formula>
    </cfRule>
  </conditionalFormatting>
  <conditionalFormatting sqref="A95">
    <cfRule type="expression" dxfId="959" priority="5180" stopIfTrue="1">
      <formula>IF(CW95="Hưu",1,0)</formula>
    </cfRule>
    <cfRule type="expression" dxfId="958" priority="5181" stopIfTrue="1">
      <formula>IF(CW95="Quá",1,0)</formula>
    </cfRule>
    <cfRule type="expression" dxfId="957" priority="5182" stopIfTrue="1">
      <formula>IF(AM95="Lùi",1,0)</formula>
    </cfRule>
  </conditionalFormatting>
  <conditionalFormatting sqref="AP88:AP94 AP83:AP86">
    <cfRule type="cellIs" dxfId="956" priority="3149" stopIfTrue="1" operator="between">
      <formula>"%"</formula>
      <formula>"%"</formula>
    </cfRule>
    <cfRule type="expression" dxfId="955" priority="3150" stopIfTrue="1">
      <formula>IF(AO83=AQ83,1,0)</formula>
    </cfRule>
  </conditionalFormatting>
  <conditionalFormatting sqref="E83:E87 M94:S94 L83:S89 L91:S93 L90:M90 O90:S90 E89:E94">
    <cfRule type="expression" dxfId="954" priority="3147" stopIfTrue="1">
      <formula>IF(CW83="Hưu",1,0)</formula>
    </cfRule>
    <cfRule type="expression" dxfId="953" priority="3148" stopIfTrue="1">
      <formula>IF(CW83="Quá",1,0)</formula>
    </cfRule>
  </conditionalFormatting>
  <conditionalFormatting sqref="DO89 DO92:DO94">
    <cfRule type="expression" dxfId="952" priority="3144" stopIfTrue="1">
      <formula>IF(FI89="Hưu",1,0)</formula>
    </cfRule>
    <cfRule type="expression" dxfId="951" priority="3145" stopIfTrue="1">
      <formula>IF(FI89="Quá",1,0)</formula>
    </cfRule>
    <cfRule type="expression" dxfId="950" priority="3146" stopIfTrue="1">
      <formula>IF(EQ89="Lùi",1,0)</formula>
    </cfRule>
  </conditionalFormatting>
  <conditionalFormatting sqref="DV83:DV94">
    <cfRule type="expression" dxfId="949" priority="3142" stopIfTrue="1">
      <formula>IF(FN83="Hưu",1,0)</formula>
    </cfRule>
    <cfRule type="expression" dxfId="948" priority="3143" stopIfTrue="1">
      <formula>IF(FN83="Quá",1,0)</formula>
    </cfRule>
  </conditionalFormatting>
  <conditionalFormatting sqref="AB83:AB94">
    <cfRule type="cellIs" dxfId="947" priority="3139" stopIfTrue="1" operator="between">
      <formula>0</formula>
      <formula>0</formula>
    </cfRule>
    <cfRule type="expression" dxfId="946" priority="3140" stopIfTrue="1">
      <formula>IF(AND(AD83&gt;AB83,AB83&gt;0),1,0)</formula>
    </cfRule>
    <cfRule type="expression" dxfId="945" priority="3141" stopIfTrue="1">
      <formula>IF(AD83&lt;AB83,1,0)</formula>
    </cfRule>
  </conditionalFormatting>
  <conditionalFormatting sqref="CV85 CV87:CV94">
    <cfRule type="cellIs" dxfId="944" priority="3136" stopIfTrue="1" operator="between">
      <formula>"Hưu"</formula>
      <formula>"Hưu"</formula>
    </cfRule>
    <cfRule type="cellIs" dxfId="943" priority="3137" stopIfTrue="1" operator="between">
      <formula>"---"</formula>
      <formula>"---"</formula>
    </cfRule>
    <cfRule type="cellIs" dxfId="942" priority="3138" stopIfTrue="1" operator="between">
      <formula>"Quá"</formula>
      <formula>"Quá"</formula>
    </cfRule>
  </conditionalFormatting>
  <conditionalFormatting sqref="BG85 BG87:BG94">
    <cfRule type="cellIs" dxfId="941" priority="3135" stopIfTrue="1" operator="between">
      <formula>4</formula>
      <formula>4</formula>
    </cfRule>
  </conditionalFormatting>
  <conditionalFormatting sqref="BF85 BF87:BF94">
    <cfRule type="expression" dxfId="940" priority="3133" stopIfTrue="1">
      <formula>IF(BF85="Đến %",1,0)</formula>
    </cfRule>
    <cfRule type="expression" dxfId="939" priority="3134" stopIfTrue="1">
      <formula>IF(BF85="Dừng %",1,0)</formula>
    </cfRule>
  </conditionalFormatting>
  <conditionalFormatting sqref="AA85 AA87:AA94">
    <cfRule type="cellIs" dxfId="938" priority="3131" stopIfTrue="1" operator="between">
      <formula>"Đến $"</formula>
      <formula>"Đến $"</formula>
    </cfRule>
    <cfRule type="cellIs" dxfId="937" priority="3132" stopIfTrue="1" operator="between">
      <formula>"Dừng $"</formula>
      <formula>"Dừng $"</formula>
    </cfRule>
  </conditionalFormatting>
  <conditionalFormatting sqref="BX85 BX87:BX94">
    <cfRule type="cellIs" dxfId="936" priority="3130" stopIfTrue="1" operator="between">
      <formula>0</formula>
      <formula>13</formula>
    </cfRule>
  </conditionalFormatting>
  <conditionalFormatting sqref="AM83:AM94">
    <cfRule type="expression" dxfId="935" priority="3129" stopIfTrue="1">
      <formula>IF(AND(BC83=0,AM83&gt;0),1,0)</formula>
    </cfRule>
  </conditionalFormatting>
  <conditionalFormatting sqref="EF85 EF87:EF94">
    <cfRule type="expression" dxfId="934" priority="3128" stopIfTrue="1">
      <formula>IF(EF85="Sửa",1,0)</formula>
    </cfRule>
  </conditionalFormatting>
  <conditionalFormatting sqref="BT83:BT94">
    <cfRule type="expression" dxfId="933" priority="3127" stopIfTrue="1">
      <formula>IF(AND(BY83=0,OR($AA$4-BT83&gt;BY83,$AA$4-BT83&lt;BY83)),1,0)</formula>
    </cfRule>
  </conditionalFormatting>
  <conditionalFormatting sqref="BN83:BN94">
    <cfRule type="expression" dxfId="932" priority="3126" stopIfTrue="1">
      <formula>IF(AND(BY83=0,BN83&gt;0),1,0)</formula>
    </cfRule>
  </conditionalFormatting>
  <conditionalFormatting sqref="CV86">
    <cfRule type="cellIs" dxfId="931" priority="3116" stopIfTrue="1" operator="between">
      <formula>"Hưu"</formula>
      <formula>"Hưu"</formula>
    </cfRule>
    <cfRule type="cellIs" dxfId="930" priority="3117" stopIfTrue="1" operator="between">
      <formula>"---"</formula>
      <formula>"---"</formula>
    </cfRule>
    <cfRule type="cellIs" dxfId="929" priority="3118" stopIfTrue="1" operator="between">
      <formula>"Quá"</formula>
      <formula>"Quá"</formula>
    </cfRule>
  </conditionalFormatting>
  <conditionalFormatting sqref="BG86">
    <cfRule type="cellIs" dxfId="928" priority="3115" stopIfTrue="1" operator="between">
      <formula>4</formula>
      <formula>4</formula>
    </cfRule>
  </conditionalFormatting>
  <conditionalFormatting sqref="BF86">
    <cfRule type="expression" dxfId="927" priority="3113" stopIfTrue="1">
      <formula>IF(BF86="Đến %",1,0)</formula>
    </cfRule>
    <cfRule type="expression" dxfId="926" priority="3114" stopIfTrue="1">
      <formula>IF(BF86="Dừng %",1,0)</formula>
    </cfRule>
  </conditionalFormatting>
  <conditionalFormatting sqref="AA86">
    <cfRule type="cellIs" dxfId="925" priority="3111" stopIfTrue="1" operator="between">
      <formula>"Đến $"</formula>
      <formula>"Đến $"</formula>
    </cfRule>
    <cfRule type="cellIs" dxfId="924" priority="3112" stopIfTrue="1" operator="between">
      <formula>"Dừng $"</formula>
      <formula>"Dừng $"</formula>
    </cfRule>
  </conditionalFormatting>
  <conditionalFormatting sqref="BX86">
    <cfRule type="cellIs" dxfId="923" priority="3110" stopIfTrue="1" operator="between">
      <formula>0</formula>
      <formula>13</formula>
    </cfRule>
  </conditionalFormatting>
  <conditionalFormatting sqref="EF86">
    <cfRule type="expression" dxfId="922" priority="3109" stopIfTrue="1">
      <formula>IF(EF86="Sửa",1,0)</formula>
    </cfRule>
  </conditionalFormatting>
  <conditionalFormatting sqref="CV83">
    <cfRule type="cellIs" dxfId="921" priority="3096" stopIfTrue="1" operator="between">
      <formula>"Hưu"</formula>
      <formula>"Hưu"</formula>
    </cfRule>
    <cfRule type="cellIs" dxfId="920" priority="3097" stopIfTrue="1" operator="between">
      <formula>"---"</formula>
      <formula>"---"</formula>
    </cfRule>
    <cfRule type="cellIs" dxfId="919" priority="3098" stopIfTrue="1" operator="between">
      <formula>"Quá"</formula>
      <formula>"Quá"</formula>
    </cfRule>
  </conditionalFormatting>
  <conditionalFormatting sqref="BG83">
    <cfRule type="cellIs" dxfId="918" priority="3095" stopIfTrue="1" operator="between">
      <formula>4</formula>
      <formula>4</formula>
    </cfRule>
  </conditionalFormatting>
  <conditionalFormatting sqref="BF83">
    <cfRule type="expression" dxfId="917" priority="3093" stopIfTrue="1">
      <formula>IF(BF83="Đến %",1,0)</formula>
    </cfRule>
    <cfRule type="expression" dxfId="916" priority="3094" stopIfTrue="1">
      <formula>IF(BF83="Dừng %",1,0)</formula>
    </cfRule>
  </conditionalFormatting>
  <conditionalFormatting sqref="AA83">
    <cfRule type="cellIs" dxfId="915" priority="3091" stopIfTrue="1" operator="between">
      <formula>"Đến $"</formula>
      <formula>"Đến $"</formula>
    </cfRule>
    <cfRule type="cellIs" dxfId="914" priority="3092" stopIfTrue="1" operator="between">
      <formula>"Dừng $"</formula>
      <formula>"Dừng $"</formula>
    </cfRule>
  </conditionalFormatting>
  <conditionalFormatting sqref="BX83">
    <cfRule type="cellIs" dxfId="913" priority="3090" stopIfTrue="1" operator="between">
      <formula>0</formula>
      <formula>13</formula>
    </cfRule>
  </conditionalFormatting>
  <conditionalFormatting sqref="EF83">
    <cfRule type="expression" dxfId="912" priority="3089" stopIfTrue="1">
      <formula>IF(EF83="Sửa",1,0)</formula>
    </cfRule>
  </conditionalFormatting>
  <conditionalFormatting sqref="CV84">
    <cfRule type="cellIs" dxfId="911" priority="3075" stopIfTrue="1" operator="between">
      <formula>"Hưu"</formula>
      <formula>"Hưu"</formula>
    </cfRule>
    <cfRule type="cellIs" dxfId="910" priority="3076" stopIfTrue="1" operator="between">
      <formula>"---"</formula>
      <formula>"---"</formula>
    </cfRule>
    <cfRule type="cellIs" dxfId="909" priority="3077" stopIfTrue="1" operator="between">
      <formula>"Quá"</formula>
      <formula>"Quá"</formula>
    </cfRule>
  </conditionalFormatting>
  <conditionalFormatting sqref="BG84">
    <cfRule type="cellIs" dxfId="908" priority="3074" stopIfTrue="1" operator="between">
      <formula>4</formula>
      <formula>4</formula>
    </cfRule>
  </conditionalFormatting>
  <conditionalFormatting sqref="BF84">
    <cfRule type="expression" dxfId="907" priority="3072" stopIfTrue="1">
      <formula>IF(BF84="Đến %",1,0)</formula>
    </cfRule>
    <cfRule type="expression" dxfId="906" priority="3073" stopIfTrue="1">
      <formula>IF(BF84="Dừng %",1,0)</formula>
    </cfRule>
  </conditionalFormatting>
  <conditionalFormatting sqref="AA84">
    <cfRule type="cellIs" dxfId="905" priority="3070" stopIfTrue="1" operator="between">
      <formula>"Đến $"</formula>
      <formula>"Đến $"</formula>
    </cfRule>
    <cfRule type="cellIs" dxfId="904" priority="3071" stopIfTrue="1" operator="between">
      <formula>"Dừng $"</formula>
      <formula>"Dừng $"</formula>
    </cfRule>
  </conditionalFormatting>
  <conditionalFormatting sqref="BX84">
    <cfRule type="cellIs" dxfId="903" priority="3069" stopIfTrue="1" operator="between">
      <formula>0</formula>
      <formula>13</formula>
    </cfRule>
  </conditionalFormatting>
  <conditionalFormatting sqref="EF84">
    <cfRule type="expression" dxfId="902" priority="3068" stopIfTrue="1">
      <formula>IF(EF84="Sửa",1,0)</formula>
    </cfRule>
  </conditionalFormatting>
  <conditionalFormatting sqref="BJ83:BK86 BI87:BK87 BI89 BI91:BI92 BJ88:BK94">
    <cfRule type="expression" dxfId="901" priority="3067" stopIfTrue="1">
      <formula>IF(AND(BR83=0,OR($AA$4-BI83&gt;BR83,$AA$4-BI83&lt;BR83)),1,0)</formula>
    </cfRule>
  </conditionalFormatting>
  <conditionalFormatting sqref="BR83:BR94">
    <cfRule type="expression" dxfId="900" priority="3035" stopIfTrue="1">
      <formula>IF(AND(BO83=0,OR($AA$4-BR83&gt;BO83,$AA$4-BR83&lt;BO83)),1,0)</formula>
    </cfRule>
  </conditionalFormatting>
  <conditionalFormatting sqref="C83:C94">
    <cfRule type="expression" dxfId="899" priority="3032" stopIfTrue="1">
      <formula>IF(CY83="Hưu",1,0)</formula>
    </cfRule>
    <cfRule type="expression" dxfId="898" priority="3033" stopIfTrue="1">
      <formula>IF(CY83="Quá",1,0)</formula>
    </cfRule>
    <cfRule type="expression" dxfId="897" priority="3034" stopIfTrue="1">
      <formula>IF(BD83="Lùi",1,0)</formula>
    </cfRule>
  </conditionalFormatting>
  <conditionalFormatting sqref="A83:A94">
    <cfRule type="expression" dxfId="896" priority="3029" stopIfTrue="1">
      <formula>IF(CW83="Hưu",1,0)</formula>
    </cfRule>
    <cfRule type="expression" dxfId="895" priority="3030" stopIfTrue="1">
      <formula>IF(CW83="Quá",1,0)</formula>
    </cfRule>
    <cfRule type="expression" dxfId="894" priority="3031" stopIfTrue="1">
      <formula>IF(AM83="Lùi",1,0)</formula>
    </cfRule>
  </conditionalFormatting>
  <conditionalFormatting sqref="A90 BA90:XFD90 AY90 C90:AW90">
    <cfRule type="cellIs" dxfId="893" priority="3027" stopIfTrue="1" operator="between">
      <formula>"Ko hạn"</formula>
      <formula>"Ko hạn"</formula>
    </cfRule>
  </conditionalFormatting>
  <conditionalFormatting sqref="AZ90">
    <cfRule type="cellIs" dxfId="892" priority="3026" stopIfTrue="1" operator="between">
      <formula>"Ko hạn"</formula>
      <formula>"Ko hạn"</formula>
    </cfRule>
  </conditionalFormatting>
  <conditionalFormatting sqref="DW78:DW80">
    <cfRule type="expression" dxfId="891" priority="1560" stopIfTrue="1">
      <formula>IF(DV78=0,1,0)</formula>
    </cfRule>
  </conditionalFormatting>
  <conditionalFormatting sqref="E78:E80 L78:S82">
    <cfRule type="expression" dxfId="890" priority="1558" stopIfTrue="1">
      <formula>IF(CW78="Hưu",1,0)</formula>
    </cfRule>
    <cfRule type="expression" dxfId="889" priority="1559" stopIfTrue="1">
      <formula>IF(CW78="Quá",1,0)</formula>
    </cfRule>
  </conditionalFormatting>
  <conditionalFormatting sqref="DO78:DO82">
    <cfRule type="expression" dxfId="888" priority="1555" stopIfTrue="1">
      <formula>IF(FI78="Hưu",1,0)</formula>
    </cfRule>
    <cfRule type="expression" dxfId="887" priority="1556" stopIfTrue="1">
      <formula>IF(FI78="Quá",1,0)</formula>
    </cfRule>
    <cfRule type="expression" dxfId="886" priority="1557" stopIfTrue="1">
      <formula>IF(EQ78="Lùi",1,0)</formula>
    </cfRule>
  </conditionalFormatting>
  <conditionalFormatting sqref="DV81">
    <cfRule type="expression" dxfId="885" priority="1553" stopIfTrue="1">
      <formula>IF(FN81="Hưu",1,0)</formula>
    </cfRule>
    <cfRule type="expression" dxfId="884" priority="1554" stopIfTrue="1">
      <formula>IF(FN81="Quá",1,0)</formula>
    </cfRule>
  </conditionalFormatting>
  <conditionalFormatting sqref="AB82 AB78:AB80">
    <cfRule type="cellIs" dxfId="883" priority="1550" stopIfTrue="1" operator="between">
      <formula>0</formula>
      <formula>0</formula>
    </cfRule>
    <cfRule type="expression" dxfId="882" priority="1551" stopIfTrue="1">
      <formula>IF(AND(AD78&gt;AB78,AB78&gt;0),1,0)</formula>
    </cfRule>
    <cfRule type="expression" dxfId="881" priority="1552" stopIfTrue="1">
      <formula>IF(AD78&lt;AB78,1,0)</formula>
    </cfRule>
  </conditionalFormatting>
  <conditionalFormatting sqref="CV78:CV82">
    <cfRule type="cellIs" dxfId="880" priority="1547" stopIfTrue="1" operator="between">
      <formula>"Hưu"</formula>
      <formula>"Hưu"</formula>
    </cfRule>
    <cfRule type="cellIs" dxfId="879" priority="1548" stopIfTrue="1" operator="between">
      <formula>"---"</formula>
      <formula>"---"</formula>
    </cfRule>
    <cfRule type="cellIs" dxfId="878" priority="1549" stopIfTrue="1" operator="between">
      <formula>"Quá"</formula>
      <formula>"Quá"</formula>
    </cfRule>
  </conditionalFormatting>
  <conditionalFormatting sqref="BG82 BG78:BG80">
    <cfRule type="cellIs" dxfId="877" priority="1546" stopIfTrue="1" operator="between">
      <formula>4</formula>
      <formula>4</formula>
    </cfRule>
  </conditionalFormatting>
  <conditionalFormatting sqref="BF78:BF82">
    <cfRule type="expression" dxfId="876" priority="1544" stopIfTrue="1">
      <formula>IF(BF78="Đến %",1,0)</formula>
    </cfRule>
    <cfRule type="expression" dxfId="875" priority="1545" stopIfTrue="1">
      <formula>IF(BF78="Dừng %",1,0)</formula>
    </cfRule>
  </conditionalFormatting>
  <conditionalFormatting sqref="AA78:AA82">
    <cfRule type="cellIs" dxfId="874" priority="1542" stopIfTrue="1" operator="between">
      <formula>"Đến $"</formula>
      <formula>"Đến $"</formula>
    </cfRule>
    <cfRule type="cellIs" dxfId="873" priority="1543" stopIfTrue="1" operator="between">
      <formula>"Dừng $"</formula>
      <formula>"Dừng $"</formula>
    </cfRule>
  </conditionalFormatting>
  <conditionalFormatting sqref="BX78:BX82">
    <cfRule type="cellIs" dxfId="872" priority="1541" stopIfTrue="1" operator="between">
      <formula>0</formula>
      <formula>13</formula>
    </cfRule>
  </conditionalFormatting>
  <conditionalFormatting sqref="AM78:AM82">
    <cfRule type="expression" dxfId="871" priority="1540" stopIfTrue="1">
      <formula>IF(AND(BC78=0,AM78&gt;0),1,0)</formula>
    </cfRule>
  </conditionalFormatting>
  <conditionalFormatting sqref="EF78:EF82">
    <cfRule type="expression" dxfId="870" priority="1539" stopIfTrue="1">
      <formula>IF(EF78="Sửa",1,0)</formula>
    </cfRule>
  </conditionalFormatting>
  <conditionalFormatting sqref="BT78:BT82">
    <cfRule type="expression" dxfId="869" priority="1538" stopIfTrue="1">
      <formula>IF(AND(BY78=0,OR($AA$4-BT78&gt;BY78,$AA$4-BT78&lt;BY78)),1,0)</formula>
    </cfRule>
  </conditionalFormatting>
  <conditionalFormatting sqref="BN78:BN82">
    <cfRule type="expression" dxfId="868" priority="1537" stopIfTrue="1">
      <formula>IF(AND(BY78=0,BN78&gt;0),1,0)</formula>
    </cfRule>
  </conditionalFormatting>
  <conditionalFormatting sqref="BI78:BI82 BR78:BR82">
    <cfRule type="expression" dxfId="867" priority="1520" stopIfTrue="1">
      <formula>IF(AND(BF78=0,OR($AA$4-BI78&gt;BF78,$AA$4-BI78&lt;BF78)),1,0)</formula>
    </cfRule>
  </conditionalFormatting>
  <conditionalFormatting sqref="C78:C82">
    <cfRule type="expression" dxfId="866" priority="1517" stopIfTrue="1">
      <formula>IF(CY78="Hưu",1,0)</formula>
    </cfRule>
    <cfRule type="expression" dxfId="865" priority="1518" stopIfTrue="1">
      <formula>IF(CY78="Quá",1,0)</formula>
    </cfRule>
    <cfRule type="expression" dxfId="864" priority="1519" stopIfTrue="1">
      <formula>IF(BD78="Lùi",1,0)</formula>
    </cfRule>
  </conditionalFormatting>
  <conditionalFormatting sqref="A78:A82">
    <cfRule type="expression" dxfId="863" priority="1514" stopIfTrue="1">
      <formula>IF(CW78="Hưu",1,0)</formula>
    </cfRule>
    <cfRule type="expression" dxfId="862" priority="1515" stopIfTrue="1">
      <formula>IF(CW78="Quá",1,0)</formula>
    </cfRule>
    <cfRule type="expression" dxfId="861" priority="1516" stopIfTrue="1">
      <formula>IF(AM78="Lùi",1,0)</formula>
    </cfRule>
  </conditionalFormatting>
  <conditionalFormatting sqref="AG81:AG82">
    <cfRule type="cellIs" dxfId="860" priority="1512" stopIfTrue="1" operator="between">
      <formula>"%"</formula>
      <formula>"%"</formula>
    </cfRule>
    <cfRule type="expression" dxfId="859" priority="1513" stopIfTrue="1">
      <formula>IF(AF81=AQ81,1,0)</formula>
    </cfRule>
  </conditionalFormatting>
  <conditionalFormatting sqref="AG78:AG80">
    <cfRule type="cellIs" dxfId="858" priority="1510" stopIfTrue="1" operator="between">
      <formula>"%"</formula>
      <formula>"%"</formula>
    </cfRule>
    <cfRule type="expression" dxfId="857" priority="1511" stopIfTrue="1">
      <formula>IF(AF78=AR78,1,0)</formula>
    </cfRule>
  </conditionalFormatting>
  <conditionalFormatting sqref="BK78:BK82">
    <cfRule type="expression" dxfId="856" priority="1504" stopIfTrue="1">
      <formula>IF(AND(BP78=0,OR($AA$4-BK78&gt;BP78,$AA$4-BK78&lt;BP78)),1,0)</formula>
    </cfRule>
  </conditionalFormatting>
  <conditionalFormatting sqref="BD23">
    <cfRule type="cellIs" dxfId="855" priority="1358" stopIfTrue="1" operator="between">
      <formula>"Đến"</formula>
      <formula>"Đến"</formula>
    </cfRule>
    <cfRule type="cellIs" dxfId="854" priority="1359" stopIfTrue="1" operator="between">
      <formula>"Quá"</formula>
      <formula>"Quá"</formula>
    </cfRule>
  </conditionalFormatting>
  <conditionalFormatting sqref="BL23">
    <cfRule type="cellIs" dxfId="853" priority="1355" stopIfTrue="1" operator="between">
      <formula>"Hưu"</formula>
      <formula>"Hưu"</formula>
    </cfRule>
    <cfRule type="cellIs" dxfId="852" priority="1356" stopIfTrue="1" operator="between">
      <formula>"---"</formula>
      <formula>"---"</formula>
    </cfRule>
    <cfRule type="cellIs" dxfId="851" priority="1357" stopIfTrue="1" operator="between">
      <formula>"Quá"</formula>
      <formula>"Quá"</formula>
    </cfRule>
  </conditionalFormatting>
  <conditionalFormatting sqref="BT23">
    <cfRule type="expression" dxfId="850" priority="1352" stopIfTrue="1">
      <formula>IF(AND(#REF!&gt;0,#REF!&lt;5),1,0)</formula>
    </cfRule>
    <cfRule type="expression" dxfId="849" priority="1353" stopIfTrue="1">
      <formula>IF(#REF!=5,1,0)</formula>
    </cfRule>
    <cfRule type="expression" dxfId="848" priority="1354" stopIfTrue="1">
      <formula>IF(#REF!&gt;5,1,0)</formula>
    </cfRule>
  </conditionalFormatting>
  <conditionalFormatting sqref="BD23">
    <cfRule type="expression" dxfId="847" priority="1351" stopIfTrue="1">
      <formula>IF(OR(#REF!="Lương Sớm Hưu",#REF!="Nâng Ngạch Hưu"),1,0)</formula>
    </cfRule>
  </conditionalFormatting>
  <conditionalFormatting sqref="BK23">
    <cfRule type="expression" dxfId="846" priority="1348" stopIfTrue="1">
      <formula>IF(#REF!="Nâg Ngạch sau TB",1,0)</formula>
    </cfRule>
    <cfRule type="expression" dxfId="845" priority="1349" stopIfTrue="1">
      <formula>IF(#REF!="Nâg Lươg Sớm sau TB",1,0)</formula>
    </cfRule>
    <cfRule type="expression" dxfId="844" priority="1350" stopIfTrue="1">
      <formula>IF(#REF!="Nâg PC TNVK cùng QĐ",1,0)</formula>
    </cfRule>
  </conditionalFormatting>
  <conditionalFormatting sqref="BD14">
    <cfRule type="cellIs" dxfId="843" priority="1301" stopIfTrue="1" operator="between">
      <formula>"Đến"</formula>
      <formula>"Đến"</formula>
    </cfRule>
    <cfRule type="cellIs" dxfId="842" priority="1302" stopIfTrue="1" operator="between">
      <formula>"Quá"</formula>
      <formula>"Quá"</formula>
    </cfRule>
  </conditionalFormatting>
  <conditionalFormatting sqref="BL14">
    <cfRule type="cellIs" dxfId="841" priority="1298" stopIfTrue="1" operator="between">
      <formula>"Hưu"</formula>
      <formula>"Hưu"</formula>
    </cfRule>
    <cfRule type="cellIs" dxfId="840" priority="1299" stopIfTrue="1" operator="between">
      <formula>"---"</formula>
      <formula>"---"</formula>
    </cfRule>
    <cfRule type="cellIs" dxfId="839" priority="1300" stopIfTrue="1" operator="between">
      <formula>"Quá"</formula>
      <formula>"Quá"</formula>
    </cfRule>
  </conditionalFormatting>
  <conditionalFormatting sqref="BT14">
    <cfRule type="expression" dxfId="838" priority="1295" stopIfTrue="1">
      <formula>IF(AND(#REF!&gt;0,#REF!&lt;5),1,0)</formula>
    </cfRule>
    <cfRule type="expression" dxfId="837" priority="1296" stopIfTrue="1">
      <formula>IF(#REF!=5,1,0)</formula>
    </cfRule>
    <cfRule type="expression" dxfId="836" priority="1297" stopIfTrue="1">
      <formula>IF(#REF!&gt;5,1,0)</formula>
    </cfRule>
  </conditionalFormatting>
  <conditionalFormatting sqref="BD14">
    <cfRule type="expression" dxfId="835" priority="1294" stopIfTrue="1">
      <formula>IF(OR(#REF!="Lương Sớm Hưu",#REF!="Nâng Ngạch Hưu"),1,0)</formula>
    </cfRule>
  </conditionalFormatting>
  <conditionalFormatting sqref="BK14">
    <cfRule type="expression" dxfId="834" priority="1291" stopIfTrue="1">
      <formula>IF(#REF!="Nâg Ngạch sau TB",1,0)</formula>
    </cfRule>
    <cfRule type="expression" dxfId="833" priority="1292" stopIfTrue="1">
      <formula>IF(#REF!="Nâg Lươg Sớm sau TB",1,0)</formula>
    </cfRule>
    <cfRule type="expression" dxfId="832" priority="1293" stopIfTrue="1">
      <formula>IF(#REF!="Nâg PC TNVK cùng QĐ",1,0)</formula>
    </cfRule>
  </conditionalFormatting>
  <conditionalFormatting sqref="DW77">
    <cfRule type="expression" dxfId="831" priority="624" stopIfTrue="1">
      <formula>IF(DV77=0,1,0)</formula>
    </cfRule>
  </conditionalFormatting>
  <conditionalFormatting sqref="E77 L77:S77">
    <cfRule type="expression" dxfId="830" priority="622" stopIfTrue="1">
      <formula>IF(CW77="Hưu",1,0)</formula>
    </cfRule>
    <cfRule type="expression" dxfId="829" priority="623" stopIfTrue="1">
      <formula>IF(CW77="Quá",1,0)</formula>
    </cfRule>
  </conditionalFormatting>
  <conditionalFormatting sqref="DO77">
    <cfRule type="expression" dxfId="828" priority="619" stopIfTrue="1">
      <formula>IF(FI77="Hưu",1,0)</formula>
    </cfRule>
    <cfRule type="expression" dxfId="827" priority="620" stopIfTrue="1">
      <formula>IF(FI77="Quá",1,0)</formula>
    </cfRule>
    <cfRule type="expression" dxfId="826" priority="621" stopIfTrue="1">
      <formula>IF(EQ77="Lùi",1,0)</formula>
    </cfRule>
  </conditionalFormatting>
  <conditionalFormatting sqref="AB77">
    <cfRule type="cellIs" dxfId="825" priority="614" stopIfTrue="1" operator="between">
      <formula>0</formula>
      <formula>0</formula>
    </cfRule>
    <cfRule type="expression" dxfId="824" priority="615" stopIfTrue="1">
      <formula>IF(AND(AD77&gt;AB77,AB77&gt;0),1,0)</formula>
    </cfRule>
    <cfRule type="expression" dxfId="823" priority="616" stopIfTrue="1">
      <formula>IF(AD77&lt;AB77,1,0)</formula>
    </cfRule>
  </conditionalFormatting>
  <conditionalFormatting sqref="CV77">
    <cfRule type="cellIs" dxfId="822" priority="611" stopIfTrue="1" operator="between">
      <formula>"Hưu"</formula>
      <formula>"Hưu"</formula>
    </cfRule>
    <cfRule type="cellIs" dxfId="821" priority="612" stopIfTrue="1" operator="between">
      <formula>"---"</formula>
      <formula>"---"</formula>
    </cfRule>
    <cfRule type="cellIs" dxfId="820" priority="613" stopIfTrue="1" operator="between">
      <formula>"Quá"</formula>
      <formula>"Quá"</formula>
    </cfRule>
  </conditionalFormatting>
  <conditionalFormatting sqref="BG77">
    <cfRule type="cellIs" dxfId="819" priority="610" stopIfTrue="1" operator="between">
      <formula>4</formula>
      <formula>4</formula>
    </cfRule>
  </conditionalFormatting>
  <conditionalFormatting sqref="BF77">
    <cfRule type="expression" dxfId="818" priority="608" stopIfTrue="1">
      <formula>IF(BF77="Đến %",1,0)</formula>
    </cfRule>
    <cfRule type="expression" dxfId="817" priority="609" stopIfTrue="1">
      <formula>IF(BF77="Dừng %",1,0)</formula>
    </cfRule>
  </conditionalFormatting>
  <conditionalFormatting sqref="AA77">
    <cfRule type="cellIs" dxfId="816" priority="606" stopIfTrue="1" operator="between">
      <formula>"Đến $"</formula>
      <formula>"Đến $"</formula>
    </cfRule>
    <cfRule type="cellIs" dxfId="815" priority="607" stopIfTrue="1" operator="between">
      <formula>"Dừng $"</formula>
      <formula>"Dừng $"</formula>
    </cfRule>
  </conditionalFormatting>
  <conditionalFormatting sqref="BX77">
    <cfRule type="cellIs" dxfId="814" priority="605" stopIfTrue="1" operator="between">
      <formula>0</formula>
      <formula>13</formula>
    </cfRule>
  </conditionalFormatting>
  <conditionalFormatting sqref="AM77">
    <cfRule type="expression" dxfId="813" priority="604" stopIfTrue="1">
      <formula>IF(AND(BC77=0,AM77&gt;0),1,0)</formula>
    </cfRule>
  </conditionalFormatting>
  <conditionalFormatting sqref="EF77">
    <cfRule type="expression" dxfId="812" priority="603" stopIfTrue="1">
      <formula>IF(EF77="Sửa",1,0)</formula>
    </cfRule>
  </conditionalFormatting>
  <conditionalFormatting sqref="BN77">
    <cfRule type="expression" dxfId="811" priority="602" stopIfTrue="1">
      <formula>IF(AND(BY77=0,BN77&gt;0),1,0)</formula>
    </cfRule>
  </conditionalFormatting>
  <conditionalFormatting sqref="BJ77:BK77">
    <cfRule type="expression" dxfId="810" priority="587" stopIfTrue="1">
      <formula>IF(AND(BS77=0,OR($AA$4-BJ77&gt;BS77,$AA$4-BJ77&lt;BS77)),1,0)</formula>
    </cfRule>
  </conditionalFormatting>
  <conditionalFormatting sqref="BR77">
    <cfRule type="expression" dxfId="809" priority="585" stopIfTrue="1">
      <formula>IF(AND(BO77=0,OR($AA$4-BR77&gt;BO77,$AA$4-BR77&lt;BO77)),1,0)</formula>
    </cfRule>
  </conditionalFormatting>
  <conditionalFormatting sqref="C77">
    <cfRule type="expression" dxfId="808" priority="582" stopIfTrue="1">
      <formula>IF(CY77="Hưu",1,0)</formula>
    </cfRule>
    <cfRule type="expression" dxfId="807" priority="583" stopIfTrue="1">
      <formula>IF(CY77="Quá",1,0)</formula>
    </cfRule>
    <cfRule type="expression" dxfId="806" priority="584" stopIfTrue="1">
      <formula>IF(BD77="Lùi",1,0)</formula>
    </cfRule>
  </conditionalFormatting>
  <conditionalFormatting sqref="A77">
    <cfRule type="expression" dxfId="805" priority="579" stopIfTrue="1">
      <formula>IF(CW77="Hưu",1,0)</formula>
    </cfRule>
    <cfRule type="expression" dxfId="804" priority="580" stopIfTrue="1">
      <formula>IF(CW77="Quá",1,0)</formula>
    </cfRule>
    <cfRule type="expression" dxfId="803" priority="581" stopIfTrue="1">
      <formula>IF(AM77="Lùi",1,0)</formula>
    </cfRule>
  </conditionalFormatting>
  <conditionalFormatting sqref="AG77">
    <cfRule type="cellIs" dxfId="802" priority="575" stopIfTrue="1" operator="between">
      <formula>"%"</formula>
      <formula>"%"</formula>
    </cfRule>
    <cfRule type="expression" dxfId="801" priority="576" stopIfTrue="1">
      <formula>IF(AF77=AR77,1,0)</formula>
    </cfRule>
  </conditionalFormatting>
  <conditionalFormatting sqref="BT77">
    <cfRule type="expression" dxfId="800" priority="569" stopIfTrue="1">
      <formula>IF(AND(CC77=0,OR($AA$4-BT77&gt;CC77,$AA$4-BT77&lt;CC77)),1,0)</formula>
    </cfRule>
  </conditionalFormatting>
  <conditionalFormatting sqref="DW76">
    <cfRule type="expression" dxfId="799" priority="328" stopIfTrue="1">
      <formula>IF(DV76=0,1,0)</formula>
    </cfRule>
  </conditionalFormatting>
  <conditionalFormatting sqref="E66:E67 E71:E76 L67:S76">
    <cfRule type="expression" dxfId="798" priority="326" stopIfTrue="1">
      <formula>IF(CW66="Hưu",1,0)</formula>
    </cfRule>
    <cfRule type="expression" dxfId="797" priority="327" stopIfTrue="1">
      <formula>IF(CW66="Quá",1,0)</formula>
    </cfRule>
  </conditionalFormatting>
  <conditionalFormatting sqref="DO66:DO74 DO76">
    <cfRule type="expression" dxfId="796" priority="323" stopIfTrue="1">
      <formula>IF(FI66="Hưu",1,0)</formula>
    </cfRule>
    <cfRule type="expression" dxfId="795" priority="324" stopIfTrue="1">
      <formula>IF(FI66="Quá",1,0)</formula>
    </cfRule>
    <cfRule type="expression" dxfId="794" priority="325" stopIfTrue="1">
      <formula>IF(EQ66="Lùi",1,0)</formula>
    </cfRule>
  </conditionalFormatting>
  <conditionalFormatting sqref="DV66:DV68 DV71:DV75">
    <cfRule type="expression" dxfId="793" priority="321" stopIfTrue="1">
      <formula>IF(FN66="Hưu",1,0)</formula>
    </cfRule>
    <cfRule type="expression" dxfId="792" priority="322" stopIfTrue="1">
      <formula>IF(FN66="Quá",1,0)</formula>
    </cfRule>
  </conditionalFormatting>
  <conditionalFormatting sqref="AB71:AB76">
    <cfRule type="cellIs" dxfId="791" priority="318" stopIfTrue="1" operator="between">
      <formula>0</formula>
      <formula>0</formula>
    </cfRule>
    <cfRule type="expression" dxfId="790" priority="319" stopIfTrue="1">
      <formula>IF(AND(AD71&gt;AB71,AB71&gt;0),1,0)</formula>
    </cfRule>
    <cfRule type="expression" dxfId="789" priority="320" stopIfTrue="1">
      <formula>IF(AD71&lt;AB71,1,0)</formula>
    </cfRule>
  </conditionalFormatting>
  <conditionalFormatting sqref="CV66:CV76">
    <cfRule type="cellIs" dxfId="788" priority="315" stopIfTrue="1" operator="between">
      <formula>"Hưu"</formula>
      <formula>"Hưu"</formula>
    </cfRule>
    <cfRule type="cellIs" dxfId="787" priority="316" stopIfTrue="1" operator="between">
      <formula>"---"</formula>
      <formula>"---"</formula>
    </cfRule>
    <cfRule type="cellIs" dxfId="786" priority="317" stopIfTrue="1" operator="between">
      <formula>"Quá"</formula>
      <formula>"Quá"</formula>
    </cfRule>
  </conditionalFormatting>
  <conditionalFormatting sqref="BG67 BG69:BG76">
    <cfRule type="cellIs" dxfId="785" priority="314" stopIfTrue="1" operator="between">
      <formula>4</formula>
      <formula>4</formula>
    </cfRule>
  </conditionalFormatting>
  <conditionalFormatting sqref="BF66:BF76">
    <cfRule type="expression" dxfId="784" priority="312" stopIfTrue="1">
      <formula>IF(BF66="Đến %",1,0)</formula>
    </cfRule>
    <cfRule type="expression" dxfId="783" priority="313" stopIfTrue="1">
      <formula>IF(BF66="Dừng %",1,0)</formula>
    </cfRule>
  </conditionalFormatting>
  <conditionalFormatting sqref="AA67:AA76">
    <cfRule type="cellIs" dxfId="782" priority="310" stopIfTrue="1" operator="between">
      <formula>"Đến $"</formula>
      <formula>"Đến $"</formula>
    </cfRule>
    <cfRule type="cellIs" dxfId="781" priority="311" stopIfTrue="1" operator="between">
      <formula>"Dừng $"</formula>
      <formula>"Dừng $"</formula>
    </cfRule>
  </conditionalFormatting>
  <conditionalFormatting sqref="BX66:BX76">
    <cfRule type="cellIs" dxfId="780" priority="309" stopIfTrue="1" operator="between">
      <formula>0</formula>
      <formula>13</formula>
    </cfRule>
  </conditionalFormatting>
  <conditionalFormatting sqref="AM66:AM76">
    <cfRule type="expression" dxfId="779" priority="308" stopIfTrue="1">
      <formula>IF(AND(BC66=0,AM66&gt;0),1,0)</formula>
    </cfRule>
  </conditionalFormatting>
  <conditionalFormatting sqref="EF66:EF76">
    <cfRule type="expression" dxfId="778" priority="307" stopIfTrue="1">
      <formula>IF(EF66="Sửa",1,0)</formula>
    </cfRule>
  </conditionalFormatting>
  <conditionalFormatting sqref="BN66:BN76">
    <cfRule type="expression" dxfId="777" priority="306" stopIfTrue="1">
      <formula>IF(AND(BY66=0,BN66&gt;0),1,0)</formula>
    </cfRule>
  </conditionalFormatting>
  <conditionalFormatting sqref="DO65">
    <cfRule type="expression" dxfId="776" priority="303" stopIfTrue="1">
      <formula>IF(FI65="Hưu",1,0)</formula>
    </cfRule>
    <cfRule type="expression" dxfId="775" priority="304" stopIfTrue="1">
      <formula>IF(FI65="Quá",1,0)</formula>
    </cfRule>
    <cfRule type="expression" dxfId="774" priority="305" stopIfTrue="1">
      <formula>IF(EQ65="Lùi",1,0)</formula>
    </cfRule>
  </conditionalFormatting>
  <conditionalFormatting sqref="AB65">
    <cfRule type="cellIs" dxfId="773" priority="300" stopIfTrue="1" operator="between">
      <formula>0</formula>
      <formula>0</formula>
    </cfRule>
    <cfRule type="expression" dxfId="772" priority="301" stopIfTrue="1">
      <formula>IF(AND(AD65&gt;AB65,AB65&gt;0),1,0)</formula>
    </cfRule>
    <cfRule type="expression" dxfId="771" priority="302" stopIfTrue="1">
      <formula>IF(AD65&lt;AB65,1,0)</formula>
    </cfRule>
  </conditionalFormatting>
  <conditionalFormatting sqref="CV65">
    <cfRule type="cellIs" dxfId="770" priority="297" stopIfTrue="1" operator="between">
      <formula>"Hưu"</formula>
      <formula>"Hưu"</formula>
    </cfRule>
    <cfRule type="cellIs" dxfId="769" priority="298" stopIfTrue="1" operator="between">
      <formula>"---"</formula>
      <formula>"---"</formula>
    </cfRule>
    <cfRule type="cellIs" dxfId="768" priority="299" stopIfTrue="1" operator="between">
      <formula>"Quá"</formula>
      <formula>"Quá"</formula>
    </cfRule>
  </conditionalFormatting>
  <conditionalFormatting sqref="AA65">
    <cfRule type="cellIs" dxfId="767" priority="294" stopIfTrue="1" operator="between">
      <formula>"Đến"</formula>
      <formula>"Đến"</formula>
    </cfRule>
    <cfRule type="cellIs" dxfId="766" priority="295" stopIfTrue="1" operator="between">
      <formula>"Quá"</formula>
      <formula>"Quá"</formula>
    </cfRule>
    <cfRule type="expression" dxfId="765" priority="296" stopIfTrue="1">
      <formula>IF(OR(AA65="Lương Sớm Hưu",AA65="Nâng Ngạch Hưu"),1,0)</formula>
    </cfRule>
  </conditionalFormatting>
  <conditionalFormatting sqref="AA66">
    <cfRule type="cellIs" dxfId="764" priority="292" stopIfTrue="1" operator="between">
      <formula>"Đến $"</formula>
      <formula>"Đến $"</formula>
    </cfRule>
    <cfRule type="cellIs" dxfId="763" priority="293" stopIfTrue="1" operator="between">
      <formula>"Dừng $"</formula>
      <formula>"Dừng $"</formula>
    </cfRule>
  </conditionalFormatting>
  <conditionalFormatting sqref="BJ76 BT65:BT76">
    <cfRule type="expression" dxfId="762" priority="291" stopIfTrue="1">
      <formula>IF(AND(BS65=0,OR($AA$4-BJ65&gt;BS65,$AA$4-BJ65&lt;BS65)),1,0)</formula>
    </cfRule>
  </conditionalFormatting>
  <conditionalFormatting sqref="BI67:BI70 BR67:BR76 BI72:BI75">
    <cfRule type="expression" dxfId="761" priority="290" stopIfTrue="1">
      <formula>IF(AND(BF67=0,OR($AA$4-BI67&gt;BF67,$AA$4-BI67&lt;BF67)),1,0)</formula>
    </cfRule>
  </conditionalFormatting>
  <conditionalFormatting sqref="C66:C76">
    <cfRule type="expression" dxfId="760" priority="287" stopIfTrue="1">
      <formula>IF(CY66="Hưu",1,0)</formula>
    </cfRule>
    <cfRule type="expression" dxfId="759" priority="288" stopIfTrue="1">
      <formula>IF(CY66="Quá",1,0)</formula>
    </cfRule>
    <cfRule type="expression" dxfId="758" priority="289" stopIfTrue="1">
      <formula>IF(BD66="Lùi",1,0)</formula>
    </cfRule>
  </conditionalFormatting>
  <conditionalFormatting sqref="A66:A76">
    <cfRule type="expression" dxfId="757" priority="284" stopIfTrue="1">
      <formula>IF(CW66="Hưu",1,0)</formula>
    </cfRule>
    <cfRule type="expression" dxfId="756" priority="285" stopIfTrue="1">
      <formula>IF(CW66="Quá",1,0)</formula>
    </cfRule>
    <cfRule type="expression" dxfId="755" priority="286" stopIfTrue="1">
      <formula>IF(AM66="Lùi",1,0)</formula>
    </cfRule>
  </conditionalFormatting>
  <conditionalFormatting sqref="AG66:AG69 AG71:AG75">
    <cfRule type="cellIs" dxfId="754" priority="282" stopIfTrue="1" operator="between">
      <formula>"%"</formula>
      <formula>"%"</formula>
    </cfRule>
    <cfRule type="expression" dxfId="753" priority="283" stopIfTrue="1">
      <formula>IF(AF66=AQ66,1,0)</formula>
    </cfRule>
  </conditionalFormatting>
  <conditionalFormatting sqref="L66:S66">
    <cfRule type="expression" dxfId="752" priority="280" stopIfTrue="1">
      <formula>IF(DD66="Hưu",1,0)</formula>
    </cfRule>
    <cfRule type="expression" dxfId="751" priority="281" stopIfTrue="1">
      <formula>IF(DD66="Quá",1,0)</formula>
    </cfRule>
  </conditionalFormatting>
  <conditionalFormatting sqref="BF65">
    <cfRule type="expression" dxfId="750" priority="278" stopIfTrue="1">
      <formula>IF(BF65="Đến %",1,0)</formula>
    </cfRule>
    <cfRule type="expression" dxfId="749" priority="279" stopIfTrue="1">
      <formula>IF(BF65="Dừng %",1,0)</formula>
    </cfRule>
  </conditionalFormatting>
  <conditionalFormatting sqref="BK65:BK70 BK72:BK76">
    <cfRule type="expression" dxfId="748" priority="277" stopIfTrue="1">
      <formula>IF(AND(BT65=0,OR($AA$4-BK65&gt;BT65,$AA$4-BK65&lt;BT65)),1,0)</formula>
    </cfRule>
  </conditionalFormatting>
  <conditionalFormatting sqref="BI71">
    <cfRule type="expression" dxfId="747" priority="276" stopIfTrue="1">
      <formula>IF(AND(BF71=0,OR($AA$4-BI71&gt;BF71,$AA$4-BI71&lt;BF71)),1,0)</formula>
    </cfRule>
  </conditionalFormatting>
  <conditionalFormatting sqref="BK71">
    <cfRule type="expression" dxfId="746" priority="275" stopIfTrue="1">
      <formula>IF(AND(BT71=0,OR($AA$4-BK71&gt;BT71,$AA$4-BK71&lt;BT71)),1,0)</formula>
    </cfRule>
  </conditionalFormatting>
  <conditionalFormatting sqref="AG76">
    <cfRule type="cellIs" dxfId="745" priority="273" stopIfTrue="1" operator="between">
      <formula>"%"</formula>
      <formula>"%"</formula>
    </cfRule>
    <cfRule type="expression" dxfId="744" priority="274" stopIfTrue="1">
      <formula>IF(AF76=AQ76,1,0)</formula>
    </cfRule>
  </conditionalFormatting>
  <conditionalFormatting sqref="A25">
    <cfRule type="expression" dxfId="743" priority="127" stopIfTrue="1">
      <formula>IF(CV25="Hưu",1,0)</formula>
    </cfRule>
    <cfRule type="expression" dxfId="742" priority="128" stopIfTrue="1">
      <formula>IF(CV25="Quá",1,0)</formula>
    </cfRule>
    <cfRule type="expression" dxfId="741" priority="129" stopIfTrue="1">
      <formula>IF(AM25="Lùi",1,0)</formula>
    </cfRule>
  </conditionalFormatting>
  <conditionalFormatting sqref="DK25 BJ25">
    <cfRule type="cellIs" dxfId="740" priority="169" stopIfTrue="1" operator="between">
      <formula>"Hưu"</formula>
      <formula>"Hưu"</formula>
    </cfRule>
    <cfRule type="cellIs" dxfId="739" priority="170" stopIfTrue="1" operator="between">
      <formula>"---"</formula>
      <formula>"---"</formula>
    </cfRule>
    <cfRule type="cellIs" dxfId="738" priority="171" stopIfTrue="1" operator="between">
      <formula>"Quá"</formula>
      <formula>"Quá"</formula>
    </cfRule>
  </conditionalFormatting>
  <conditionalFormatting sqref="BB25 DB25">
    <cfRule type="cellIs" dxfId="737" priority="167" stopIfTrue="1" operator="between">
      <formula>"Đến"</formula>
      <formula>"Đến"</formula>
    </cfRule>
    <cfRule type="cellIs" dxfId="736" priority="168" stopIfTrue="1" operator="between">
      <formula>"Quá"</formula>
      <formula>"Quá"</formula>
    </cfRule>
  </conditionalFormatting>
  <conditionalFormatting sqref="BR25">
    <cfRule type="expression" dxfId="735" priority="164" stopIfTrue="1">
      <formula>IF(AND(#REF!&gt;0,#REF!&lt;5),1,0)</formula>
    </cfRule>
    <cfRule type="expression" dxfId="734" priority="165" stopIfTrue="1">
      <formula>IF(#REF!=5,1,0)</formula>
    </cfRule>
    <cfRule type="expression" dxfId="733" priority="166" stopIfTrue="1">
      <formula>IF(#REF!&gt;5,1,0)</formula>
    </cfRule>
  </conditionalFormatting>
  <conditionalFormatting sqref="A25">
    <cfRule type="expression" dxfId="732" priority="162" stopIfTrue="1">
      <formula>IF(#REF!="Hưu",1,0)</formula>
    </cfRule>
    <cfRule type="expression" dxfId="731" priority="163" stopIfTrue="1">
      <formula>IF(#REF!="Quá",1,0)</formula>
    </cfRule>
  </conditionalFormatting>
  <conditionalFormatting sqref="BE25">
    <cfRule type="expression" dxfId="730" priority="160" stopIfTrue="1">
      <formula>IF(#REF!&gt;0,1,0)</formula>
    </cfRule>
    <cfRule type="expression" dxfId="729" priority="161" stopIfTrue="1">
      <formula>IF(#REF!=0,1,0)</formula>
    </cfRule>
  </conditionalFormatting>
  <conditionalFormatting sqref="BB25">
    <cfRule type="expression" dxfId="728" priority="159" stopIfTrue="1">
      <formula>IF(OR(#REF!="Lương Sớm Hưu",#REF!="Nâng Ngạch Hưu"),1,0)</formula>
    </cfRule>
  </conditionalFormatting>
  <conditionalFormatting sqref="BI25">
    <cfRule type="expression" dxfId="727" priority="156" stopIfTrue="1">
      <formula>IF(#REF!="Nâg Ngạch sau TB",1,0)</formula>
    </cfRule>
    <cfRule type="expression" dxfId="726" priority="157" stopIfTrue="1">
      <formula>IF(#REF!="Nâg Lươg Sớm sau TB",1,0)</formula>
    </cfRule>
    <cfRule type="expression" dxfId="725" priority="158" stopIfTrue="1">
      <formula>IF(#REF!="Nâg PC TNVK cùng QĐ",1,0)</formula>
    </cfRule>
  </conditionalFormatting>
  <conditionalFormatting sqref="DE25">
    <cfRule type="expression" dxfId="724" priority="154" stopIfTrue="1">
      <formula>IF(#REF!&gt;0,1,0)</formula>
    </cfRule>
    <cfRule type="expression" dxfId="723" priority="155" stopIfTrue="1">
      <formula>IF(#REF!=0,1,0)</formula>
    </cfRule>
  </conditionalFormatting>
  <conditionalFormatting sqref="DB25">
    <cfRule type="expression" dxfId="722" priority="153" stopIfTrue="1">
      <formula>IF(OR(#REF!="Lương Sớm Hưu",#REF!="Nâng Ngạch Hưu"),1,0)</formula>
    </cfRule>
  </conditionalFormatting>
  <conditionalFormatting sqref="DJ25">
    <cfRule type="expression" dxfId="721" priority="150" stopIfTrue="1">
      <formula>IF(#REF!="Nâg Ngạch sau TB",1,0)</formula>
    </cfRule>
    <cfRule type="expression" dxfId="720" priority="151" stopIfTrue="1">
      <formula>IF(#REF!="Nâg Lươg Sớm sau TB",1,0)</formula>
    </cfRule>
    <cfRule type="expression" dxfId="719" priority="152" stopIfTrue="1">
      <formula>IF(#REF!="Nâg PC TNVK cùng QĐ",1,0)</formula>
    </cfRule>
  </conditionalFormatting>
  <conditionalFormatting sqref="DN25">
    <cfRule type="expression" dxfId="718" priority="147" stopIfTrue="1">
      <formula>IF(FF25="Hưu",1,0)</formula>
    </cfRule>
    <cfRule type="expression" dxfId="717" priority="148" stopIfTrue="1">
      <formula>IF(FF25="Quá",1,0)</formula>
    </cfRule>
    <cfRule type="expression" dxfId="716" priority="149" stopIfTrue="1">
      <formula>IF(EN25="Lùi",1,0)</formula>
    </cfRule>
  </conditionalFormatting>
  <conditionalFormatting sqref="DU25">
    <cfRule type="expression" dxfId="715" priority="145" stopIfTrue="1">
      <formula>IF(FK25="Hưu",1,0)</formula>
    </cfRule>
    <cfRule type="expression" dxfId="714" priority="146" stopIfTrue="1">
      <formula>IF(FK25="Quá",1,0)</formula>
    </cfRule>
  </conditionalFormatting>
  <conditionalFormatting sqref="CU25">
    <cfRule type="cellIs" dxfId="713" priority="142" stopIfTrue="1" operator="between">
      <formula>"Hưu"</formula>
      <formula>"Hưu"</formula>
    </cfRule>
    <cfRule type="cellIs" dxfId="712" priority="143" stopIfTrue="1" operator="between">
      <formula>"---"</formula>
      <formula>"---"</formula>
    </cfRule>
    <cfRule type="cellIs" dxfId="711" priority="144" stopIfTrue="1" operator="between">
      <formula>"Quá"</formula>
      <formula>"Quá"</formula>
    </cfRule>
  </conditionalFormatting>
  <conditionalFormatting sqref="BF25">
    <cfRule type="cellIs" dxfId="710" priority="141" stopIfTrue="1" operator="between">
      <formula>4</formula>
      <formula>4</formula>
    </cfRule>
  </conditionalFormatting>
  <conditionalFormatting sqref="BE25">
    <cfRule type="expression" dxfId="709" priority="139" stopIfTrue="1">
      <formula>IF(BE25="Đến %",1,0)</formula>
    </cfRule>
    <cfRule type="expression" dxfId="708" priority="140" stopIfTrue="1">
      <formula>IF(BE25="Dừng %",1,0)</formula>
    </cfRule>
  </conditionalFormatting>
  <conditionalFormatting sqref="BW25">
    <cfRule type="cellIs" dxfId="707" priority="138" stopIfTrue="1" operator="between">
      <formula>0</formula>
      <formula>13</formula>
    </cfRule>
  </conditionalFormatting>
  <conditionalFormatting sqref="EC25">
    <cfRule type="expression" dxfId="706" priority="137" stopIfTrue="1">
      <formula>IF(EC25="Sửa",1,0)</formula>
    </cfRule>
  </conditionalFormatting>
  <conditionalFormatting sqref="BS25">
    <cfRule type="expression" dxfId="705" priority="136" stopIfTrue="1">
      <formula>IF(AND(BX25=0,OR($AA$4-BS25&gt;BX25,$AA$4-BS25&lt;BX25)),1,0)</formula>
    </cfRule>
  </conditionalFormatting>
  <conditionalFormatting sqref="BM25">
    <cfRule type="expression" dxfId="704" priority="135" stopIfTrue="1">
      <formula>IF(AND(BX25=0,BM25&gt;0),1,0)</formula>
    </cfRule>
  </conditionalFormatting>
  <conditionalFormatting sqref="BI25:BJ25">
    <cfRule type="expression" dxfId="703" priority="134" stopIfTrue="1">
      <formula>IF(AND(BR25=0,OR($AA$4-BI25&gt;BR25,$AA$4-BI25&lt;BR25)),1,0)</formula>
    </cfRule>
  </conditionalFormatting>
  <conditionalFormatting sqref="BQ25">
    <cfRule type="expression" dxfId="702" priority="133" stopIfTrue="1">
      <formula>IF(AND(BN25=0,OR($AA$4-BQ25&gt;BN25,$AA$4-BQ25&lt;BN25)),1,0)</formula>
    </cfRule>
  </conditionalFormatting>
  <conditionalFormatting sqref="C25">
    <cfRule type="expression" dxfId="701" priority="130" stopIfTrue="1">
      <formula>IF(CX25="Hưu",1,0)</formula>
    </cfRule>
    <cfRule type="expression" dxfId="700" priority="131" stopIfTrue="1">
      <formula>IF(CX25="Quá",1,0)</formula>
    </cfRule>
    <cfRule type="expression" dxfId="699" priority="132" stopIfTrue="1">
      <formula>IF(BC25="Lùi",1,0)</formula>
    </cfRule>
  </conditionalFormatting>
  <conditionalFormatting sqref="DK26 BJ26">
    <cfRule type="cellIs" dxfId="698" priority="124" stopIfTrue="1" operator="between">
      <formula>"Hưu"</formula>
      <formula>"Hưu"</formula>
    </cfRule>
    <cfRule type="cellIs" dxfId="697" priority="125" stopIfTrue="1" operator="between">
      <formula>"---"</formula>
      <formula>"---"</formula>
    </cfRule>
    <cfRule type="cellIs" dxfId="696" priority="126" stopIfTrue="1" operator="between">
      <formula>"Quá"</formula>
      <formula>"Quá"</formula>
    </cfRule>
  </conditionalFormatting>
  <conditionalFormatting sqref="BB26 DB26">
    <cfRule type="cellIs" dxfId="695" priority="122" stopIfTrue="1" operator="between">
      <formula>"Đến"</formula>
      <formula>"Đến"</formula>
    </cfRule>
    <cfRule type="cellIs" dxfId="694" priority="123" stopIfTrue="1" operator="between">
      <formula>"Quá"</formula>
      <formula>"Quá"</formula>
    </cfRule>
  </conditionalFormatting>
  <conditionalFormatting sqref="A26">
    <cfRule type="expression" dxfId="693" priority="120" stopIfTrue="1">
      <formula>IF(#REF!="Hưu",1,0)</formula>
    </cfRule>
    <cfRule type="expression" dxfId="692" priority="121" stopIfTrue="1">
      <formula>IF(#REF!="Quá",1,0)</formula>
    </cfRule>
  </conditionalFormatting>
  <conditionalFormatting sqref="BE26">
    <cfRule type="expression" dxfId="691" priority="118" stopIfTrue="1">
      <formula>IF(#REF!&gt;0,1,0)</formula>
    </cfRule>
    <cfRule type="expression" dxfId="690" priority="119" stopIfTrue="1">
      <formula>IF(#REF!=0,1,0)</formula>
    </cfRule>
  </conditionalFormatting>
  <conditionalFormatting sqref="BB26">
    <cfRule type="expression" dxfId="689" priority="117" stopIfTrue="1">
      <formula>IF(OR(#REF!="Lương Sớm Hưu",#REF!="Nâng Ngạch Hưu"),1,0)</formula>
    </cfRule>
  </conditionalFormatting>
  <conditionalFormatting sqref="BI26 DJ26">
    <cfRule type="expression" dxfId="688" priority="114" stopIfTrue="1">
      <formula>IF(#REF!="Nâg Ngạch sau TB",1,0)</formula>
    </cfRule>
    <cfRule type="expression" dxfId="687" priority="115" stopIfTrue="1">
      <formula>IF(#REF!="Nâg Lươg Sớm sau TB",1,0)</formula>
    </cfRule>
    <cfRule type="expression" dxfId="686" priority="116" stopIfTrue="1">
      <formula>IF(#REF!="Nâg PC TNVK cùng QĐ",1,0)</formula>
    </cfRule>
  </conditionalFormatting>
  <conditionalFormatting sqref="DE26">
    <cfRule type="expression" dxfId="685" priority="112" stopIfTrue="1">
      <formula>IF(#REF!&gt;0,1,0)</formula>
    </cfRule>
    <cfRule type="expression" dxfId="684" priority="113" stopIfTrue="1">
      <formula>IF(#REF!=0,1,0)</formula>
    </cfRule>
  </conditionalFormatting>
  <conditionalFormatting sqref="DB26">
    <cfRule type="expression" dxfId="683" priority="111" stopIfTrue="1">
      <formula>IF(OR(#REF!="Lương Sớm Hưu",#REF!="Nâng Ngạch Hưu"),1,0)</formula>
    </cfRule>
  </conditionalFormatting>
  <conditionalFormatting sqref="BR26">
    <cfRule type="expression" dxfId="682" priority="108" stopIfTrue="1">
      <formula>IF(AND(#REF!&gt;0,#REF!&lt;5),1,0)</formula>
    </cfRule>
    <cfRule type="expression" dxfId="681" priority="109" stopIfTrue="1">
      <formula>IF(#REF!=5,1,0)</formula>
    </cfRule>
    <cfRule type="expression" dxfId="680" priority="110" stopIfTrue="1">
      <formula>IF(#REF!&gt;5,1,0)</formula>
    </cfRule>
  </conditionalFormatting>
  <conditionalFormatting sqref="DN26">
    <cfRule type="expression" dxfId="679" priority="105" stopIfTrue="1">
      <formula>IF(FF26="Hưu",1,0)</formula>
    </cfRule>
    <cfRule type="expression" dxfId="678" priority="106" stopIfTrue="1">
      <formula>IF(FF26="Quá",1,0)</formula>
    </cfRule>
    <cfRule type="expression" dxfId="677" priority="107" stopIfTrue="1">
      <formula>IF(EN26="Lùi",1,0)</formula>
    </cfRule>
  </conditionalFormatting>
  <conditionalFormatting sqref="DU26">
    <cfRule type="expression" dxfId="676" priority="103" stopIfTrue="1">
      <formula>IF(FK26="Hưu",1,0)</formula>
    </cfRule>
    <cfRule type="expression" dxfId="675" priority="104" stopIfTrue="1">
      <formula>IF(FK26="Quá",1,0)</formula>
    </cfRule>
  </conditionalFormatting>
  <conditionalFormatting sqref="CU26">
    <cfRule type="cellIs" dxfId="674" priority="100" stopIfTrue="1" operator="between">
      <formula>"Hưu"</formula>
      <formula>"Hưu"</formula>
    </cfRule>
    <cfRule type="cellIs" dxfId="673" priority="101" stopIfTrue="1" operator="between">
      <formula>"---"</formula>
      <formula>"---"</formula>
    </cfRule>
    <cfRule type="cellIs" dxfId="672" priority="102" stopIfTrue="1" operator="between">
      <formula>"Quá"</formula>
      <formula>"Quá"</formula>
    </cfRule>
  </conditionalFormatting>
  <conditionalFormatting sqref="BF26">
    <cfRule type="cellIs" dxfId="671" priority="99" stopIfTrue="1" operator="between">
      <formula>4</formula>
      <formula>4</formula>
    </cfRule>
  </conditionalFormatting>
  <conditionalFormatting sqref="BE26">
    <cfRule type="expression" dxfId="670" priority="97" stopIfTrue="1">
      <formula>IF(BE26="Đến %",1,0)</formula>
    </cfRule>
    <cfRule type="expression" dxfId="669" priority="98" stopIfTrue="1">
      <formula>IF(BE26="Dừng %",1,0)</formula>
    </cfRule>
  </conditionalFormatting>
  <conditionalFormatting sqref="BW26">
    <cfRule type="cellIs" dxfId="668" priority="96" stopIfTrue="1" operator="between">
      <formula>0</formula>
      <formula>13</formula>
    </cfRule>
  </conditionalFormatting>
  <conditionalFormatting sqref="EC26">
    <cfRule type="expression" dxfId="667" priority="95" stopIfTrue="1">
      <formula>IF(EC26="Sửa",1,0)</formula>
    </cfRule>
  </conditionalFormatting>
  <conditionalFormatting sqref="BS26">
    <cfRule type="expression" dxfId="666" priority="94" stopIfTrue="1">
      <formula>IF(AND(BX26=0,OR($AA$4-BS26&gt;BX26,$AA$4-BS26&lt;BX26)),1,0)</formula>
    </cfRule>
  </conditionalFormatting>
  <conditionalFormatting sqref="BM26">
    <cfRule type="expression" dxfId="665" priority="93" stopIfTrue="1">
      <formula>IF(AND(BX26=0,BM26&gt;0),1,0)</formula>
    </cfRule>
  </conditionalFormatting>
  <conditionalFormatting sqref="BI26:BJ26">
    <cfRule type="expression" dxfId="664" priority="92" stopIfTrue="1">
      <formula>IF(AND(BR26=0,OR($AA$4-BI26&gt;BR26,$AA$4-BI26&lt;BR26)),1,0)</formula>
    </cfRule>
  </conditionalFormatting>
  <conditionalFormatting sqref="BQ26">
    <cfRule type="expression" dxfId="663" priority="91" stopIfTrue="1">
      <formula>IF(AND(BN26=0,OR($AA$4-BQ26&gt;BN26,$AA$4-BQ26&lt;BN26)),1,0)</formula>
    </cfRule>
  </conditionalFormatting>
  <conditionalFormatting sqref="C26">
    <cfRule type="expression" dxfId="662" priority="88" stopIfTrue="1">
      <formula>IF(CX26="Hưu",1,0)</formula>
    </cfRule>
    <cfRule type="expression" dxfId="661" priority="89" stopIfTrue="1">
      <formula>IF(CX26="Quá",1,0)</formula>
    </cfRule>
    <cfRule type="expression" dxfId="660" priority="90" stopIfTrue="1">
      <formula>IF(BC26="Lùi",1,0)</formula>
    </cfRule>
  </conditionalFormatting>
  <conditionalFormatting sqref="A26">
    <cfRule type="expression" dxfId="659" priority="85" stopIfTrue="1">
      <formula>IF(CV26="Hưu",1,0)</formula>
    </cfRule>
    <cfRule type="expression" dxfId="658" priority="86" stopIfTrue="1">
      <formula>IF(CV26="Quá",1,0)</formula>
    </cfRule>
    <cfRule type="expression" dxfId="657" priority="87" stopIfTrue="1">
      <formula>IF(AM26="Lùi",1,0)</formula>
    </cfRule>
  </conditionalFormatting>
  <conditionalFormatting sqref="DK24 BJ24">
    <cfRule type="cellIs" dxfId="656" priority="82" stopIfTrue="1" operator="between">
      <formula>"Hưu"</formula>
      <formula>"Hưu"</formula>
    </cfRule>
    <cfRule type="cellIs" dxfId="655" priority="83" stopIfTrue="1" operator="between">
      <formula>"---"</formula>
      <formula>"---"</formula>
    </cfRule>
    <cfRule type="cellIs" dxfId="654" priority="84" stopIfTrue="1" operator="between">
      <formula>"Quá"</formula>
      <formula>"Quá"</formula>
    </cfRule>
  </conditionalFormatting>
  <conditionalFormatting sqref="BB24 DB24">
    <cfRule type="cellIs" dxfId="653" priority="80" stopIfTrue="1" operator="between">
      <formula>"Đến"</formula>
      <formula>"Đến"</formula>
    </cfRule>
    <cfRule type="cellIs" dxfId="652" priority="81" stopIfTrue="1" operator="between">
      <formula>"Quá"</formula>
      <formula>"Quá"</formula>
    </cfRule>
  </conditionalFormatting>
  <conditionalFormatting sqref="A24">
    <cfRule type="expression" dxfId="651" priority="78" stopIfTrue="1">
      <formula>IF(#REF!="Hưu",1,0)</formula>
    </cfRule>
    <cfRule type="expression" dxfId="650" priority="79" stopIfTrue="1">
      <formula>IF(#REF!="Quá",1,0)</formula>
    </cfRule>
  </conditionalFormatting>
  <conditionalFormatting sqref="BE24">
    <cfRule type="expression" dxfId="649" priority="76" stopIfTrue="1">
      <formula>IF(#REF!&gt;0,1,0)</formula>
    </cfRule>
    <cfRule type="expression" dxfId="648" priority="77" stopIfTrue="1">
      <formula>IF(#REF!=0,1,0)</formula>
    </cfRule>
  </conditionalFormatting>
  <conditionalFormatting sqref="BB24">
    <cfRule type="expression" dxfId="647" priority="75" stopIfTrue="1">
      <formula>IF(OR(#REF!="Lương Sớm Hưu",#REF!="Nâng Ngạch Hưu"),1,0)</formula>
    </cfRule>
  </conditionalFormatting>
  <conditionalFormatting sqref="BI24 DJ24">
    <cfRule type="expression" dxfId="646" priority="72" stopIfTrue="1">
      <formula>IF(#REF!="Nâg Ngạch sau TB",1,0)</formula>
    </cfRule>
    <cfRule type="expression" dxfId="645" priority="73" stopIfTrue="1">
      <formula>IF(#REF!="Nâg Lươg Sớm sau TB",1,0)</formula>
    </cfRule>
    <cfRule type="expression" dxfId="644" priority="74" stopIfTrue="1">
      <formula>IF(#REF!="Nâg PC TNVK cùng QĐ",1,0)</formula>
    </cfRule>
  </conditionalFormatting>
  <conditionalFormatting sqref="DE24">
    <cfRule type="expression" dxfId="643" priority="70" stopIfTrue="1">
      <formula>IF(#REF!&gt;0,1,0)</formula>
    </cfRule>
    <cfRule type="expression" dxfId="642" priority="71" stopIfTrue="1">
      <formula>IF(#REF!=0,1,0)</formula>
    </cfRule>
  </conditionalFormatting>
  <conditionalFormatting sqref="DB24">
    <cfRule type="expression" dxfId="641" priority="69" stopIfTrue="1">
      <formula>IF(OR(#REF!="Lương Sớm Hưu",#REF!="Nâng Ngạch Hưu"),1,0)</formula>
    </cfRule>
  </conditionalFormatting>
  <conditionalFormatting sqref="BR24">
    <cfRule type="expression" dxfId="640" priority="66" stopIfTrue="1">
      <formula>IF(AND(#REF!&gt;0,#REF!&lt;5),1,0)</formula>
    </cfRule>
    <cfRule type="expression" dxfId="639" priority="67" stopIfTrue="1">
      <formula>IF(#REF!=5,1,0)</formula>
    </cfRule>
    <cfRule type="expression" dxfId="638" priority="68" stopIfTrue="1">
      <formula>IF(#REF!&gt;5,1,0)</formula>
    </cfRule>
  </conditionalFormatting>
  <conditionalFormatting sqref="DN24">
    <cfRule type="expression" dxfId="637" priority="63" stopIfTrue="1">
      <formula>IF(FF24="Hưu",1,0)</formula>
    </cfRule>
    <cfRule type="expression" dxfId="636" priority="64" stopIfTrue="1">
      <formula>IF(FF24="Quá",1,0)</formula>
    </cfRule>
    <cfRule type="expression" dxfId="635" priority="65" stopIfTrue="1">
      <formula>IF(EN24="Lùi",1,0)</formula>
    </cfRule>
  </conditionalFormatting>
  <conditionalFormatting sqref="DU24">
    <cfRule type="expression" dxfId="634" priority="61" stopIfTrue="1">
      <formula>IF(FK24="Hưu",1,0)</formula>
    </cfRule>
    <cfRule type="expression" dxfId="633" priority="62" stopIfTrue="1">
      <formula>IF(FK24="Quá",1,0)</formula>
    </cfRule>
  </conditionalFormatting>
  <conditionalFormatting sqref="CU24">
    <cfRule type="cellIs" dxfId="632" priority="58" stopIfTrue="1" operator="between">
      <formula>"Hưu"</formula>
      <formula>"Hưu"</formula>
    </cfRule>
    <cfRule type="cellIs" dxfId="631" priority="59" stopIfTrue="1" operator="between">
      <formula>"---"</formula>
      <formula>"---"</formula>
    </cfRule>
    <cfRule type="cellIs" dxfId="630" priority="60" stopIfTrue="1" operator="between">
      <formula>"Quá"</formula>
      <formula>"Quá"</formula>
    </cfRule>
  </conditionalFormatting>
  <conditionalFormatting sqref="BF24">
    <cfRule type="cellIs" dxfId="629" priority="57" stopIfTrue="1" operator="between">
      <formula>4</formula>
      <formula>4</formula>
    </cfRule>
  </conditionalFormatting>
  <conditionalFormatting sqref="BE24">
    <cfRule type="expression" dxfId="628" priority="55" stopIfTrue="1">
      <formula>IF(BE24="Đến %",1,0)</formula>
    </cfRule>
    <cfRule type="expression" dxfId="627" priority="56" stopIfTrue="1">
      <formula>IF(BE24="Dừng %",1,0)</formula>
    </cfRule>
  </conditionalFormatting>
  <conditionalFormatting sqref="BW24">
    <cfRule type="cellIs" dxfId="626" priority="54" stopIfTrue="1" operator="between">
      <formula>0</formula>
      <formula>13</formula>
    </cfRule>
  </conditionalFormatting>
  <conditionalFormatting sqref="EC24">
    <cfRule type="expression" dxfId="625" priority="53" stopIfTrue="1">
      <formula>IF(EC24="Sửa",1,0)</formula>
    </cfRule>
  </conditionalFormatting>
  <conditionalFormatting sqref="BS24">
    <cfRule type="expression" dxfId="624" priority="52" stopIfTrue="1">
      <formula>IF(AND(BX24=0,OR($AA$4-BS24&gt;BX24,$AA$4-BS24&lt;BX24)),1,0)</formula>
    </cfRule>
  </conditionalFormatting>
  <conditionalFormatting sqref="BM24">
    <cfRule type="expression" dxfId="623" priority="51" stopIfTrue="1">
      <formula>IF(AND(BX24=0,BM24&gt;0),1,0)</formula>
    </cfRule>
  </conditionalFormatting>
  <conditionalFormatting sqref="BI24:BJ24">
    <cfRule type="expression" dxfId="622" priority="50" stopIfTrue="1">
      <formula>IF(AND(BR24=0,OR($AA$4-BI24&gt;BR24,$AA$4-BI24&lt;BR24)),1,0)</formula>
    </cfRule>
  </conditionalFormatting>
  <conditionalFormatting sqref="BQ24">
    <cfRule type="expression" dxfId="621" priority="49" stopIfTrue="1">
      <formula>IF(AND(BN24=0,OR($AA$4-BQ24&gt;BN24,$AA$4-BQ24&lt;BN24)),1,0)</formula>
    </cfRule>
  </conditionalFormatting>
  <conditionalFormatting sqref="C24">
    <cfRule type="expression" dxfId="620" priority="46" stopIfTrue="1">
      <formula>IF(CX24="Hưu",1,0)</formula>
    </cfRule>
    <cfRule type="expression" dxfId="619" priority="47" stopIfTrue="1">
      <formula>IF(CX24="Quá",1,0)</formula>
    </cfRule>
    <cfRule type="expression" dxfId="618" priority="48" stopIfTrue="1">
      <formula>IF(BC24="Lùi",1,0)</formula>
    </cfRule>
  </conditionalFormatting>
  <conditionalFormatting sqref="A24">
    <cfRule type="expression" dxfId="617" priority="43" stopIfTrue="1">
      <formula>IF(CV24="Hưu",1,0)</formula>
    </cfRule>
    <cfRule type="expression" dxfId="616" priority="44" stopIfTrue="1">
      <formula>IF(CV24="Quá",1,0)</formula>
    </cfRule>
    <cfRule type="expression" dxfId="615" priority="45" stopIfTrue="1">
      <formula>IF(AM24="Lùi",1,0)</formula>
    </cfRule>
  </conditionalFormatting>
  <conditionalFormatting sqref="DK27 BJ27">
    <cfRule type="cellIs" dxfId="614" priority="40" stopIfTrue="1" operator="between">
      <formula>"Hưu"</formula>
      <formula>"Hưu"</formula>
    </cfRule>
    <cfRule type="cellIs" dxfId="613" priority="41" stopIfTrue="1" operator="between">
      <formula>"---"</formula>
      <formula>"---"</formula>
    </cfRule>
    <cfRule type="cellIs" dxfId="612" priority="42" stopIfTrue="1" operator="between">
      <formula>"Quá"</formula>
      <formula>"Quá"</formula>
    </cfRule>
  </conditionalFormatting>
  <conditionalFormatting sqref="BB27 DB27">
    <cfRule type="cellIs" dxfId="611" priority="38" stopIfTrue="1" operator="between">
      <formula>"Đến"</formula>
      <formula>"Đến"</formula>
    </cfRule>
    <cfRule type="cellIs" dxfId="610" priority="39" stopIfTrue="1" operator="between">
      <formula>"Quá"</formula>
      <formula>"Quá"</formula>
    </cfRule>
  </conditionalFormatting>
  <conditionalFormatting sqref="A27">
    <cfRule type="expression" dxfId="609" priority="36" stopIfTrue="1">
      <formula>IF(#REF!="Hưu",1,0)</formula>
    </cfRule>
    <cfRule type="expression" dxfId="608" priority="37" stopIfTrue="1">
      <formula>IF(#REF!="Quá",1,0)</formula>
    </cfRule>
  </conditionalFormatting>
  <conditionalFormatting sqref="BE27">
    <cfRule type="expression" dxfId="607" priority="34" stopIfTrue="1">
      <formula>IF(#REF!&gt;0,1,0)</formula>
    </cfRule>
    <cfRule type="expression" dxfId="606" priority="35" stopIfTrue="1">
      <formula>IF(#REF!=0,1,0)</formula>
    </cfRule>
  </conditionalFormatting>
  <conditionalFormatting sqref="BB27">
    <cfRule type="expression" dxfId="605" priority="33" stopIfTrue="1">
      <formula>IF(OR(#REF!="Lương Sớm Hưu",#REF!="Nâng Ngạch Hưu"),1,0)</formula>
    </cfRule>
  </conditionalFormatting>
  <conditionalFormatting sqref="BI27 DJ27">
    <cfRule type="expression" dxfId="604" priority="30" stopIfTrue="1">
      <formula>IF(#REF!="Nâg Ngạch sau TB",1,0)</formula>
    </cfRule>
    <cfRule type="expression" dxfId="603" priority="31" stopIfTrue="1">
      <formula>IF(#REF!="Nâg Lươg Sớm sau TB",1,0)</formula>
    </cfRule>
    <cfRule type="expression" dxfId="602" priority="32" stopIfTrue="1">
      <formula>IF(#REF!="Nâg PC TNVK cùng QĐ",1,0)</formula>
    </cfRule>
  </conditionalFormatting>
  <conditionalFormatting sqref="DE27">
    <cfRule type="expression" dxfId="601" priority="28" stopIfTrue="1">
      <formula>IF(#REF!&gt;0,1,0)</formula>
    </cfRule>
    <cfRule type="expression" dxfId="600" priority="29" stopIfTrue="1">
      <formula>IF(#REF!=0,1,0)</formula>
    </cfRule>
  </conditionalFormatting>
  <conditionalFormatting sqref="DB27">
    <cfRule type="expression" dxfId="599" priority="27" stopIfTrue="1">
      <formula>IF(OR(#REF!="Lương Sớm Hưu",#REF!="Nâng Ngạch Hưu"),1,0)</formula>
    </cfRule>
  </conditionalFormatting>
  <conditionalFormatting sqref="BR27">
    <cfRule type="expression" dxfId="598" priority="24" stopIfTrue="1">
      <formula>IF(AND(#REF!&gt;0,#REF!&lt;5),1,0)</formula>
    </cfRule>
    <cfRule type="expression" dxfId="597" priority="25" stopIfTrue="1">
      <formula>IF(#REF!=5,1,0)</formula>
    </cfRule>
    <cfRule type="expression" dxfId="596" priority="26" stopIfTrue="1">
      <formula>IF(#REF!&gt;5,1,0)</formula>
    </cfRule>
  </conditionalFormatting>
  <conditionalFormatting sqref="DN27">
    <cfRule type="expression" dxfId="595" priority="21" stopIfTrue="1">
      <formula>IF(FF27="Hưu",1,0)</formula>
    </cfRule>
    <cfRule type="expression" dxfId="594" priority="22" stopIfTrue="1">
      <formula>IF(FF27="Quá",1,0)</formula>
    </cfRule>
    <cfRule type="expression" dxfId="593" priority="23" stopIfTrue="1">
      <formula>IF(EN27="Lùi",1,0)</formula>
    </cfRule>
  </conditionalFormatting>
  <conditionalFormatting sqref="DU27">
    <cfRule type="expression" dxfId="592" priority="19" stopIfTrue="1">
      <formula>IF(FK27="Hưu",1,0)</formula>
    </cfRule>
    <cfRule type="expression" dxfId="591" priority="20" stopIfTrue="1">
      <formula>IF(FK27="Quá",1,0)</formula>
    </cfRule>
  </conditionalFormatting>
  <conditionalFormatting sqref="CU27">
    <cfRule type="cellIs" dxfId="590" priority="16" stopIfTrue="1" operator="between">
      <formula>"Hưu"</formula>
      <formula>"Hưu"</formula>
    </cfRule>
    <cfRule type="cellIs" dxfId="589" priority="17" stopIfTrue="1" operator="between">
      <formula>"---"</formula>
      <formula>"---"</formula>
    </cfRule>
    <cfRule type="cellIs" dxfId="588" priority="18" stopIfTrue="1" operator="between">
      <formula>"Quá"</formula>
      <formula>"Quá"</formula>
    </cfRule>
  </conditionalFormatting>
  <conditionalFormatting sqref="BF27">
    <cfRule type="cellIs" dxfId="587" priority="15" stopIfTrue="1" operator="between">
      <formula>4</formula>
      <formula>4</formula>
    </cfRule>
  </conditionalFormatting>
  <conditionalFormatting sqref="BE27">
    <cfRule type="expression" dxfId="586" priority="13" stopIfTrue="1">
      <formula>IF(BE27="Đến %",1,0)</formula>
    </cfRule>
    <cfRule type="expression" dxfId="585" priority="14" stopIfTrue="1">
      <formula>IF(BE27="Dừng %",1,0)</formula>
    </cfRule>
  </conditionalFormatting>
  <conditionalFormatting sqref="BW27">
    <cfRule type="cellIs" dxfId="584" priority="12" stopIfTrue="1" operator="between">
      <formula>0</formula>
      <formula>13</formula>
    </cfRule>
  </conditionalFormatting>
  <conditionalFormatting sqref="EC27">
    <cfRule type="expression" dxfId="583" priority="11" stopIfTrue="1">
      <formula>IF(EC27="Sửa",1,0)</formula>
    </cfRule>
  </conditionalFormatting>
  <conditionalFormatting sqref="BS27">
    <cfRule type="expression" dxfId="582" priority="10" stopIfTrue="1">
      <formula>IF(AND(BX27=0,OR($AA$4-BS27&gt;BX27,$AA$4-BS27&lt;BX27)),1,0)</formula>
    </cfRule>
  </conditionalFormatting>
  <conditionalFormatting sqref="BM27">
    <cfRule type="expression" dxfId="581" priority="9" stopIfTrue="1">
      <formula>IF(AND(BX27=0,BM27&gt;0),1,0)</formula>
    </cfRule>
  </conditionalFormatting>
  <conditionalFormatting sqref="BI27:BJ27">
    <cfRule type="expression" dxfId="580" priority="8" stopIfTrue="1">
      <formula>IF(AND(BR27=0,OR($AA$4-BI27&gt;BR27,$AA$4-BI27&lt;BR27)),1,0)</formula>
    </cfRule>
  </conditionalFormatting>
  <conditionalFormatting sqref="BQ27">
    <cfRule type="expression" dxfId="579" priority="7" stopIfTrue="1">
      <formula>IF(AND(BN27=0,OR($AA$4-BQ27&gt;BN27,$AA$4-BQ27&lt;BN27)),1,0)</formula>
    </cfRule>
  </conditionalFormatting>
  <conditionalFormatting sqref="C27">
    <cfRule type="expression" dxfId="578" priority="4" stopIfTrue="1">
      <formula>IF(CX27="Hưu",1,0)</formula>
    </cfRule>
    <cfRule type="expression" dxfId="577" priority="5" stopIfTrue="1">
      <formula>IF(CX27="Quá",1,0)</formula>
    </cfRule>
    <cfRule type="expression" dxfId="576" priority="6" stopIfTrue="1">
      <formula>IF(BC27="Lùi",1,0)</formula>
    </cfRule>
  </conditionalFormatting>
  <conditionalFormatting sqref="A27">
    <cfRule type="expression" dxfId="575" priority="1" stopIfTrue="1">
      <formula>IF(CV27="Hưu",1,0)</formula>
    </cfRule>
    <cfRule type="expression" dxfId="574" priority="2" stopIfTrue="1">
      <formula>IF(CV27="Quá",1,0)</formula>
    </cfRule>
    <cfRule type="expression" dxfId="573" priority="3" stopIfTrue="1">
      <formula>IF(AM27="Lùi",1,0)</formula>
    </cfRule>
  </conditionalFormatting>
  <pageMargins left="0.43307086614173229" right="0.27559055118110237" top="0.19685039370078741" bottom="0.15748031496062992" header="0.15748031496062992" footer="0.15748031496062992"/>
  <pageSetup paperSize="9" orientation="landscape" r:id="rId1"/>
  <headerFooter alignWithMargins="0">
    <oddHeader>&amp;R&amp;"Arial,Bold"&amp;14&amp;UBIỂU 1- TB</oddHeader>
    <oddFooter>&amp;R&amp;P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71" stopIfTrue="1" id="{2544E7D0-F883-4384-B076-E90E7355EE25}">
            <xm:f>IF('C:\BẢNG LƯƠNG, % PCNG\$$$$$ - %%%%\@@@@. Luong + PCTN NG\1. Nâng (Lg + PC NG)\Luong, PCTN 2020\Lương+PC tháng 12.2020\[@. Lg + PC den T12 - 2020.xlsx]@.DL-New '!#REF!="Hưu",1,0)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6"/>
                </patternFill>
              </fill>
            </x14:dxf>
          </x14:cfRule>
          <x14:cfRule type="expression" priority="5272" stopIfTrue="1" id="{4C4651B4-A859-4F1B-8A84-80E0591C8FC1}">
            <xm:f>IF('C:\BẢNG LƯƠNG, % PCNG\$$$$$ - %%%%\@@@@. Luong + PCTN NG\1. Nâng (Lg + PC NG)\Luong, PCTN 2020\Lương+PC tháng 12.2020\[@. Lg + PC den T12 - 2020.xlsx]@.DL-New '!#REF!="Quá",1,0)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23"/>
                </patternFill>
              </fill>
            </x14:dxf>
          </x14:cfRule>
          <x14:cfRule type="expression" priority="5273" stopIfTrue="1" id="{D30833DC-1345-4D14-AB26-DFE05ABA5AD4}">
            <xm:f>IF('C:\BẢNG LƯƠNG, % PCNG\$$$$$ - %%%%\@@@@. Luong + PCTN NG\1. Nâng (Lg + PC NG)\Luong, PCTN 2020\Lương+PC tháng 12.2020\[@. Lg + PC den T12 - 2020.xlsx]@.DL-New '!#REF!="Lùi",1,0)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10"/>
                </patternFill>
              </fill>
            </x14:dxf>
          </x14:cfRule>
          <xm:sqref>A159</xm:sqref>
        </x14:conditionalFormatting>
        <x14:conditionalFormatting xmlns:xm="http://schemas.microsoft.com/office/excel/2006/main">
          <x14:cfRule type="expression" priority="5269" stopIfTrue="1" id="{B8F9124A-ECD0-4D15-8E02-C74EC1DA06C1}">
            <xm:f>IF(AND('C:\BẢNG LƯƠNG, % PCNG\$$$$$ - %%%%\@@@@. Luong + PCTN NG\1. Nâng (Lg + PC NG)\Luong, PCTN 2020\Lương+PC tháng 12.2020\[@. Lg + PC den T12 - 2020.xlsx]@.DL-New '!#REF!&gt;'C:\BẢNG LƯƠNG, % PCNG\$$$$$ - %%%%\@@@@. Luong + PCTN NG\1. Nâng (Lg + PC NG)\Luong, PCTN 2020\Lương+PC tháng 12.2020\[@. Lg + PC den T12 - 2020.xlsx]@.DL-New '!#REF!,'C:\BẢNG LƯƠNG, % PCNG\$$$$$ - %%%%\@@@@. Luong + PCTN NG\1. Nâng (Lg + PC NG)\Luong, PCTN 2020\Lương+PC tháng 12.2020\[@. Lg + PC den T12 - 2020.xlsx]@.DL-New '!#REF!&gt;0),1,0)</xm:f>
            <x14:dxf>
              <font>
                <b/>
                <i val="0"/>
                <condense val="0"/>
                <extend val="0"/>
              </font>
              <fill>
                <patternFill>
                  <bgColor indexed="9"/>
                </patternFill>
              </fill>
            </x14:dxf>
          </x14:cfRule>
          <x14:cfRule type="expression" priority="5270" stopIfTrue="1" id="{49DED39C-8A4C-4F90-869B-34AFD58BB5F3}">
            <xm:f>IF('C:\BẢNG LƯƠNG, % PCNG\$$$$$ - %%%%\@@@@. Luong + PCTN NG\1. Nâng (Lg + PC NG)\Luong, PCTN 2020\Lương+PC tháng 12.2020\[@. Lg + PC den T12 - 2020.xlsx]@.DL-New '!#REF!&lt;'C:\BẢNG LƯƠNG, % PCNG\$$$$$ - %%%%\@@@@. Luong + PCTN NG\1. Nâng (Lg + PC NG)\Luong, PCTN 2020\Lương+PC tháng 12.2020\[@. Lg + PC den T12 - 2020.xlsx]@.DL-New '!#REF!,1,0)</xm:f>
            <x14:dxf>
              <font>
                <b/>
                <i val="0"/>
                <condense val="0"/>
                <extend val="0"/>
                <color indexed="13"/>
              </font>
              <fill>
                <patternFill>
                  <bgColor indexed="10"/>
                </patternFill>
              </fill>
            </x14:dxf>
          </x14:cfRule>
          <xm:sqref>AB159</xm:sqref>
        </x14:conditionalFormatting>
        <x14:conditionalFormatting xmlns:xm="http://schemas.microsoft.com/office/excel/2006/main">
          <x14:cfRule type="expression" priority="5267" stopIfTrue="1" id="{3168AD80-69A7-43B0-A743-43ECE262AF50}">
            <xm:f>IF('C:\BẢNG LƯƠNG, % PCNG\$$$$$ - %%%%\@@@@. Luong + PCTN NG\1. Nâng (Lg + PC NG)\Luong, PCTN 2020\Lương+PC tháng 12.2020\[@. Lg + PC den T12 - 2020.xlsx]@.DL-New '!#REF!="Hưu",1,0)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6"/>
                </patternFill>
              </fill>
            </x14:dxf>
          </x14:cfRule>
          <x14:cfRule type="expression" priority="5268" stopIfTrue="1" id="{579A713E-6C42-4A80-A15D-468651940EBD}">
            <xm:f>IF('C:\BẢNG LƯƠNG, % PCNG\$$$$$ - %%%%\@@@@. Luong + PCTN NG\1. Nâng (Lg + PC NG)\Luong, PCTN 2020\Lương+PC tháng 12.2020\[@. Lg + PC den T12 - 2020.xlsx]@.DL-New '!#REF!="Quá",1,0)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23"/>
                </patternFill>
              </fill>
            </x14:dxf>
          </x14:cfRule>
          <xm:sqref>E159 L159:S159</xm:sqref>
        </x14:conditionalFormatting>
        <x14:conditionalFormatting xmlns:xm="http://schemas.microsoft.com/office/excel/2006/main">
          <x14:cfRule type="expression" priority="5265" stopIfTrue="1" id="{1D470BB8-A5F4-44D7-9E39-79EC9FE0A39C}">
            <xm:f>IF('C:\BẢNG LƯƠNG, % PCNG\$$$$$ - %%%%\@@@@. Luong + PCTN NG\1. Nâng (Lg + PC NG)\Luong, PCTN 2020\Lương+PC tháng 12.2020\[@. Lg + PC den T12 - 2020.xlsx]@.DL-New '!#REF!="Hưu",1,0)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6"/>
                </patternFill>
              </fill>
            </x14:dxf>
          </x14:cfRule>
          <x14:cfRule type="expression" priority="5266" stopIfTrue="1" id="{7F8E6956-9741-42F4-9357-B298DF319DC7}">
            <xm:f>IF('C:\BẢNG LƯƠNG, % PCNG\$$$$$ - %%%%\@@@@. Luong + PCTN NG\1. Nâng (Lg + PC NG)\Luong, PCTN 2020\Lương+PC tháng 12.2020\[@. Lg + PC den T12 - 2020.xlsx]@.DL-New '!#REF!="Quá",1,0)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23"/>
                </patternFill>
              </fill>
            </x14:dxf>
          </x14:cfRule>
          <xm:sqref>DV159</xm:sqref>
        </x14:conditionalFormatting>
        <x14:conditionalFormatting xmlns:xm="http://schemas.microsoft.com/office/excel/2006/main">
          <x14:cfRule type="expression" priority="5263" stopIfTrue="1" id="{0ABED03E-B66E-4BC4-A035-F8FE0D67EBA7}">
            <xm:f>IF('C:\BẢNG LƯƠNG, % PCNG\$$$$$ - %%%%\@@@@. Luong + PCTN NG\1. Nâng (Lg + PC NG)\Luong, PCTN 2020\Lương+PC tháng 12.2020\[@. Lg + PC den T12 - 2020.xlsx]@.DL-New '!#REF!="Đến %",1,0)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7"/>
                </patternFill>
              </fill>
            </x14:dxf>
          </x14:cfRule>
          <x14:cfRule type="expression" priority="5264" stopIfTrue="1" id="{C8CAAA65-EB35-4D29-A0E8-2228E2BFE973}">
            <xm:f>IF('C:\BẢNG LƯƠNG, % PCNG\$$$$$ - %%%%\@@@@. Luong + PCTN NG\1. Nâng (Lg + PC NG)\Luong, PCTN 2020\Lương+PC tháng 12.2020\[@. Lg + PC den T12 - 2020.xlsx]@.DL-New '!#REF!="Dừng %",1,0)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9"/>
                </patternFill>
              </fill>
            </x14:dxf>
          </x14:cfRule>
          <xm:sqref>BF159</xm:sqref>
        </x14:conditionalFormatting>
        <x14:conditionalFormatting xmlns:xm="http://schemas.microsoft.com/office/excel/2006/main">
          <x14:cfRule type="expression" priority="5262" stopIfTrue="1" id="{1CB400F4-1C61-4191-8020-A00C0DDA8192}">
            <xm:f>IF('C:\BẢNG LƯƠNG, % PCNG\$$$$$ - %%%%\@@@@. Luong + PCTN NG\1. Nâng (Lg + PC NG)\Luong, PCTN 2020\Lương+PC tháng 12.2020\[@. Lg + PC den T12 - 2020.xlsx]@.DL-New '!#REF!="Sửa",1,0)</xm:f>
            <x14:dxf>
              <font>
                <b/>
                <i val="0"/>
                <color rgb="FFFF0000"/>
              </font>
              <fill>
                <patternFill>
                  <bgColor rgb="FF00B0F0"/>
                </patternFill>
              </fill>
            </x14:dxf>
          </x14:cfRule>
          <xm:sqref>EF159</xm:sqref>
        </x14:conditionalFormatting>
        <x14:conditionalFormatting xmlns:xm="http://schemas.microsoft.com/office/excel/2006/main">
          <x14:cfRule type="expression" priority="5261" stopIfTrue="1" id="{71BB95E0-99A5-4432-9ED6-A60A065F0C8A}">
            <xm:f>IF(AND('C:\BẢNG LƯƠNG, % PCNG\$$$$$ - %%%%\@@@@. Luong + PCTN NG\1. Nâng (Lg + PC NG)\Luong, PCTN 2020\Lương+PC tháng 12.2020\[@. Lg + PC den T12 - 2020.xlsx]@.DL-New '!#REF!=0,OR('C:\BẢNG LƯƠNG, % PCNG\$$$$$ - %%%%\@@@@. Luong + PCTN NG\1. Nâng (Lg + PC NG)\Luong, PCTN 2020\Lương+PC tháng 12.2020\[@. Lg + PC den T12 - 2020.xlsx]@.DL-New '!#REF!-'C:\BẢNG LƯƠNG, % PCNG\$$$$$ - %%%%\@@@@. Luong + PCTN NG\1. Nâng (Lg + PC NG)\Luong, PCTN 2020\Lương+PC tháng 12.2020\[@. Lg + PC den T12 - 2020.xlsx]@.DL-New '!#REF!&gt;'C:\BẢNG LƯƠNG, % PCNG\$$$$$ - %%%%\@@@@. Luong + PCTN NG\1. Nâng (Lg + PC NG)\Luong, PCTN 2020\Lương+PC tháng 12.2020\[@. Lg + PC den T12 - 2020.xlsx]@.DL-New '!#REF!,'C:\BẢNG LƯƠNG, % PCNG\$$$$$ - %%%%\@@@@. Luong + PCTN NG\1. Nâng (Lg + PC NG)\Luong, PCTN 2020\Lương+PC tháng 12.2020\[@. Lg + PC den T12 - 2020.xlsx]@.DL-New '!#REF!-'C:\BẢNG LƯƠNG, % PCNG\$$$$$ - %%%%\@@@@. Luong + PCTN NG\1. Nâng (Lg + PC NG)\Luong, PCTN 2020\Lương+PC tháng 12.2020\[@. Lg + PC den T12 - 2020.xlsx]@.DL-New '!#REF!&lt;'C:\BẢNG LƯƠNG, % PCNG\$$$$$ - %%%%\@@@@. Luong + PCTN NG\1. Nâng (Lg + PC NG)\Luong, PCTN 2020\Lương+PC tháng 12.2020\[@. Lg + PC den T12 - 2020.xlsx]@.DL-New '!#REF!)),1,0)</xm:f>
            <x14:dxf>
              <font>
                <b/>
                <i val="0"/>
                <color rgb="FFFFFF00"/>
              </font>
              <fill>
                <patternFill>
                  <bgColor rgb="FFFF0000"/>
                </patternFill>
              </fill>
            </x14:dxf>
          </x14:cfRule>
          <xm:sqref>BT159</xm:sqref>
        </x14:conditionalFormatting>
        <x14:conditionalFormatting xmlns:xm="http://schemas.microsoft.com/office/excel/2006/main">
          <x14:cfRule type="expression" priority="5260" stopIfTrue="1" id="{EE29C37B-7122-4213-A0DD-884B137EA731}">
            <xm:f>IF(AND('C:\BẢNG LƯƠNG, % PCNG\$$$$$ - %%%%\@@@@. Luong + PCTN NG\1. Nâng (Lg + PC NG)\Luong, PCTN 2020\Lương+PC tháng 12.2020\[@. Lg + PC den T12 - 2020.xlsx]@.DL-New '!#REF!=0,'C:\BẢNG LƯƠNG, % PCNG\$$$$$ - %%%%\@@@@. Luong + PCTN NG\1. Nâng (Lg + PC NG)\Luong, PCTN 2020\Lương+PC tháng 12.2020\[@. Lg + PC den T12 - 2020.xlsx]@.DL-New '!#REF!&gt;0),1,0)</xm:f>
            <x14:dxf>
              <font>
                <b/>
                <i val="0"/>
                <color rgb="FFFFFF00"/>
              </font>
              <fill>
                <patternFill>
                  <bgColor rgb="FFFF0000"/>
                </patternFill>
              </fill>
            </x14:dxf>
          </x14:cfRule>
          <xm:sqref>BN159</xm:sqref>
        </x14:conditionalFormatting>
        <x14:conditionalFormatting xmlns:xm="http://schemas.microsoft.com/office/excel/2006/main">
          <x14:cfRule type="expression" priority="5259" stopIfTrue="1" id="{053BAA46-80BB-42B9-B689-B4E328244756}">
            <xm:f>IF(AND('C:\BẢNG LƯƠNG, % PCNG\$$$$$ - %%%%\@@@@. Luong + PCTN NG\1. Nâng (Lg + PC NG)\Luong, PCTN 2020\Lương+PC tháng 12.2020\[@. Lg + PC den T12 - 2020.xlsx]@.DL-New '!#REF!=0,OR('C:\BẢNG LƯƠNG, % PCNG\$$$$$ - %%%%\@@@@. Luong + PCTN NG\1. Nâng (Lg + PC NG)\Luong, PCTN 2020\Lương+PC tháng 12.2020\[@. Lg + PC den T12 - 2020.xlsx]@.DL-New '!#REF!-'C:\BẢNG LƯƠNG, % PCNG\$$$$$ - %%%%\@@@@. Luong + PCTN NG\1. Nâng (Lg + PC NG)\Luong, PCTN 2020\Lương+PC tháng 12.2020\[@. Lg + PC den T12 - 2020.xlsx]@.DL-New '!#REF!&gt;'C:\BẢNG LƯƠNG, % PCNG\$$$$$ - %%%%\@@@@. Luong + PCTN NG\1. Nâng (Lg + PC NG)\Luong, PCTN 2020\Lương+PC tháng 12.2020\[@. Lg + PC den T12 - 2020.xlsx]@.DL-New '!#REF!,'C:\BẢNG LƯƠNG, % PCNG\$$$$$ - %%%%\@@@@. Luong + PCTN NG\1. Nâng (Lg + PC NG)\Luong, PCTN 2020\Lương+PC tháng 12.2020\[@. Lg + PC den T12 - 2020.xlsx]@.DL-New '!#REF!-'C:\BẢNG LƯƠNG, % PCNG\$$$$$ - %%%%\@@@@. Luong + PCTN NG\1. Nâng (Lg + PC NG)\Luong, PCTN 2020\Lương+PC tháng 12.2020\[@. Lg + PC den T12 - 2020.xlsx]@.DL-New '!#REF!&lt;'C:\BẢNG LƯƠNG, % PCNG\$$$$$ - %%%%\@@@@. Luong + PCTN NG\1. Nâng (Lg + PC NG)\Luong, PCTN 2020\Lương+PC tháng 12.2020\[@. Lg + PC den T12 - 2020.xlsx]@.DL-New '!#REF!)),1,0)</xm:f>
            <x14:dxf>
              <font>
                <b/>
                <i val="0"/>
                <color rgb="FFFFFF00"/>
              </font>
              <fill>
                <patternFill>
                  <bgColor rgb="FFFF0000"/>
                </patternFill>
              </fill>
            </x14:dxf>
          </x14:cfRule>
          <xm:sqref>BI159:BK159</xm:sqref>
        </x14:conditionalFormatting>
        <x14:conditionalFormatting xmlns:xm="http://schemas.microsoft.com/office/excel/2006/main">
          <x14:cfRule type="expression" priority="5258" stopIfTrue="1" id="{5219CE82-C128-4755-9723-08552AF5A914}">
            <xm:f>IF(AND('C:\BẢNG LƯƠNG, % PCNG\$$$$$ - %%%%\@@@@. Luong + PCTN NG\1. Nâng (Lg + PC NG)\Luong, PCTN 2020\Lương+PC tháng 12.2020\[@. Lg + PC den T12 - 2020.xlsx]@.DL-New '!#REF!=0,OR('C:\BẢNG LƯƠNG, % PCNG\$$$$$ - %%%%\@@@@. Luong + PCTN NG\1. Nâng (Lg + PC NG)\Luong, PCTN 2020\Lương+PC tháng 12.2020\[@. Lg + PC den T12 - 2020.xlsx]@.DL-New '!#REF!-'C:\BẢNG LƯƠNG, % PCNG\$$$$$ - %%%%\@@@@. Luong + PCTN NG\1. Nâng (Lg + PC NG)\Luong, PCTN 2020\Lương+PC tháng 12.2020\[@. Lg + PC den T12 - 2020.xlsx]@.DL-New '!#REF!&gt;'C:\BẢNG LƯƠNG, % PCNG\$$$$$ - %%%%\@@@@. Luong + PCTN NG\1. Nâng (Lg + PC NG)\Luong, PCTN 2020\Lương+PC tháng 12.2020\[@. Lg + PC den T12 - 2020.xlsx]@.DL-New '!#REF!,'C:\BẢNG LƯƠNG, % PCNG\$$$$$ - %%%%\@@@@. Luong + PCTN NG\1. Nâng (Lg + PC NG)\Luong, PCTN 2020\Lương+PC tháng 12.2020\[@. Lg + PC den T12 - 2020.xlsx]@.DL-New '!#REF!-'C:\BẢNG LƯƠNG, % PCNG\$$$$$ - %%%%\@@@@. Luong + PCTN NG\1. Nâng (Lg + PC NG)\Luong, PCTN 2020\Lương+PC tháng 12.2020\[@. Lg + PC den T12 - 2020.xlsx]@.DL-New '!#REF!&lt;'C:\BẢNG LƯƠNG, % PCNG\$$$$$ - %%%%\@@@@. Luong + PCTN NG\1. Nâng (Lg + PC NG)\Luong, PCTN 2020\Lương+PC tháng 12.2020\[@. Lg + PC den T12 - 2020.xlsx]@.DL-New '!#REF!)),1,0)</xm:f>
            <x14:dxf>
              <font>
                <b/>
                <i val="0"/>
                <color rgb="FFFFFF00"/>
              </font>
              <fill>
                <patternFill>
                  <bgColor rgb="FFFF0000"/>
                </patternFill>
              </fill>
            </x14:dxf>
          </x14:cfRule>
          <xm:sqref>BR159</xm:sqref>
        </x14:conditionalFormatting>
        <x14:conditionalFormatting xmlns:xm="http://schemas.microsoft.com/office/excel/2006/main">
          <x14:cfRule type="expression" priority="5255" stopIfTrue="1" id="{57FFD88C-C422-4320-A770-5C8313A8A4B1}">
            <xm:f>IF('C:\BẢNG LƯƠNG, % PCNG\$$$$$ - %%%%\@@@@. Luong + PCTN NG\1. Nâng (Lg + PC NG)\Luong, PCTN 2020\Lương+PC tháng 12.2020\[@. Lg + PC den T12 - 2020.xlsx]@.DL-New '!#REF!="Hưu",1,0)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6"/>
                </patternFill>
              </fill>
            </x14:dxf>
          </x14:cfRule>
          <x14:cfRule type="expression" priority="5256" stopIfTrue="1" id="{D9BCFA22-C5F2-4E42-88EC-4F4DA051B3CA}">
            <xm:f>IF('C:\BẢNG LƯƠNG, % PCNG\$$$$$ - %%%%\@@@@. Luong + PCTN NG\1. Nâng (Lg + PC NG)\Luong, PCTN 2020\Lương+PC tháng 12.2020\[@. Lg + PC den T12 - 2020.xlsx]@.DL-New '!#REF!="Quá",1,0)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23"/>
                </patternFill>
              </fill>
            </x14:dxf>
          </x14:cfRule>
          <x14:cfRule type="expression" priority="5257" stopIfTrue="1" id="{EF3180E0-1A01-45D7-89B1-A59025BB4CC4}">
            <xm:f>IF('C:\BẢNG LƯƠNG, % PCNG\$$$$$ - %%%%\@@@@. Luong + PCTN NG\1. Nâng (Lg + PC NG)\Luong, PCTN 2020\Lương+PC tháng 12.2020\[@. Lg + PC den T12 - 2020.xlsx]@.DL-New '!#REF!="Lùi",1,0)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10"/>
                </patternFill>
              </fill>
            </x14:dxf>
          </x14:cfRule>
          <xm:sqref>C159</xm:sqref>
        </x14:conditionalFormatting>
        <x14:conditionalFormatting xmlns:xm="http://schemas.microsoft.com/office/excel/2006/main">
          <x14:cfRule type="expression" priority="5254" stopIfTrue="1" id="{7EEB077F-FBAE-45ED-9E4B-4665A7BD192F}">
            <xm:f>IF(AND('C:\BẢNG LƯƠNG, % PCNG\$$$$$ - %%%%\@@@@. Luong + PCTN NG\1. Nâng (Lg + PC NG)\Luong, PCTN 2020\Lương+PC tháng 12.2020\[@. Lg + PC den T12 - 2020.xlsx]@.DL-New '!#REF!=0,OR('C:\BẢNG LƯƠNG, % PCNG\$$$$$ - %%%%\@@@@. Luong + PCTN NG\1. Nâng (Lg + PC NG)\Luong, PCTN 2020\Lương+PC tháng 12.2020\[@. Lg + PC den T12 - 2020.xlsx]@.DL-New '!#REF!-'C:\BẢNG LƯƠNG, % PCNG\$$$$$ - %%%%\@@@@. Luong + PCTN NG\1. Nâng (Lg + PC NG)\Luong, PCTN 2020\Lương+PC tháng 12.2020\[@. Lg + PC den T12 - 2020.xlsx]@.DL-New '!#REF!&gt;0,'C:\BẢNG LƯƠNG, % PCNG\$$$$$ - %%%%\@@@@. Luong + PCTN NG\1. Nâng (Lg + PC NG)\Luong, PCTN 2020\Lương+PC tháng 12.2020\[@. Lg + PC den T12 - 2020.xlsx]@.DL-New '!#REF!-'C:\BẢNG LƯƠNG, % PCNG\$$$$$ - %%%%\@@@@. Luong + PCTN NG\1. Nâng (Lg + PC NG)\Luong, PCTN 2020\Lương+PC tháng 12.2020\[@. Lg + PC den T12 - 2020.xlsx]@.DL-New '!#REF!&lt;0)),1,0)</xm:f>
            <x14:dxf>
              <font>
                <b/>
                <i val="0"/>
                <color rgb="FFFFFF00"/>
              </font>
              <fill>
                <patternFill>
                  <bgColor rgb="FFFF0000"/>
                </patternFill>
              </fill>
            </x14:dxf>
          </x14:cfRule>
          <xm:sqref>AJ159 AV159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12"/>
  <sheetViews>
    <sheetView showGridLines="0" tabSelected="1" showRuler="0" view="pageLayout" topLeftCell="B1" zoomScale="85" zoomScaleNormal="100" zoomScaleSheetLayoutView="110" zoomScalePageLayoutView="85" workbookViewId="0">
      <selection activeCell="X37" sqref="X37:BU37"/>
    </sheetView>
  </sheetViews>
  <sheetFormatPr defaultRowHeight="12.75" x14ac:dyDescent="0.2"/>
  <cols>
    <col min="1" max="1" width="0.85546875" style="712" hidden="1" customWidth="1"/>
    <col min="2" max="2" width="4.5703125" style="712" customWidth="1"/>
    <col min="3" max="3" width="0.140625" style="712" hidden="1" customWidth="1"/>
    <col min="4" max="4" width="5.85546875" style="712" hidden="1" customWidth="1"/>
    <col min="5" max="5" width="19" style="712" customWidth="1"/>
    <col min="6" max="6" width="4.85546875" style="712" customWidth="1"/>
    <col min="7" max="7" width="2.85546875" style="712" hidden="1" customWidth="1"/>
    <col min="8" max="8" width="4.7109375" style="712" hidden="1" customWidth="1"/>
    <col min="9" max="9" width="3" style="712" hidden="1" customWidth="1"/>
    <col min="10" max="10" width="3.140625" style="712" hidden="1" customWidth="1"/>
    <col min="11" max="14" width="2.5703125" style="712" hidden="1" customWidth="1"/>
    <col min="15" max="15" width="3.7109375" style="712" hidden="1" customWidth="1"/>
    <col min="16" max="17" width="4" style="712" hidden="1" customWidth="1"/>
    <col min="18" max="18" width="0.28515625" style="717" customWidth="1"/>
    <col min="19" max="19" width="30.140625" style="715" customWidth="1"/>
    <col min="20" max="20" width="1.85546875" style="712" hidden="1" customWidth="1"/>
    <col min="21" max="21" width="4.5703125" style="712" hidden="1" customWidth="1"/>
    <col min="22" max="22" width="0.140625" style="712" customWidth="1"/>
    <col min="23" max="23" width="16.85546875" style="882" customWidth="1"/>
    <col min="24" max="24" width="9.42578125" style="884" customWidth="1"/>
    <col min="25" max="25" width="17.28515625" style="712" hidden="1" customWidth="1"/>
    <col min="26" max="26" width="8.85546875" style="712" hidden="1" customWidth="1"/>
    <col min="27" max="27" width="6" style="712" hidden="1" customWidth="1"/>
    <col min="28" max="28" width="3.42578125" style="712" hidden="1" customWidth="1"/>
    <col min="29" max="29" width="1.42578125" style="712" hidden="1" customWidth="1"/>
    <col min="30" max="30" width="3.7109375" style="712" hidden="1" customWidth="1"/>
    <col min="31" max="37" width="5.85546875" style="884" hidden="1" customWidth="1"/>
    <col min="38" max="40" width="2.42578125" style="884" hidden="1" customWidth="1"/>
    <col min="41" max="41" width="3.28515625" style="712" hidden="1" customWidth="1"/>
    <col min="42" max="42" width="1.28515625" style="712" hidden="1" customWidth="1"/>
    <col min="43" max="43" width="3.42578125" style="712" hidden="1" customWidth="1"/>
    <col min="44" max="45" width="7" style="712" hidden="1" customWidth="1"/>
    <col min="46" max="46" width="3.7109375" style="712" hidden="1" customWidth="1"/>
    <col min="47" max="47" width="1.7109375" style="712" hidden="1" customWidth="1"/>
    <col min="48" max="48" width="3.140625" style="712" hidden="1" customWidth="1"/>
    <col min="49" max="49" width="1.7109375" style="712" hidden="1" customWidth="1"/>
    <col min="50" max="50" width="6.42578125" style="712" hidden="1" customWidth="1"/>
    <col min="51" max="51" width="9.140625" style="712" hidden="1" customWidth="1"/>
    <col min="52" max="52" width="7" style="712" hidden="1" customWidth="1"/>
    <col min="53" max="53" width="5.5703125" style="712" hidden="1" customWidth="1"/>
    <col min="54" max="55" width="9.140625" style="712" hidden="1" customWidth="1"/>
    <col min="56" max="56" width="5.7109375" style="712" hidden="1" customWidth="1"/>
    <col min="57" max="57" width="2" style="884" hidden="1" customWidth="1"/>
    <col min="58" max="58" width="0.140625" style="712" customWidth="1"/>
    <col min="59" max="59" width="3.85546875" style="884" customWidth="1"/>
    <col min="60" max="60" width="2.7109375" style="712" customWidth="1"/>
    <col min="61" max="61" width="0.28515625" style="714" customWidth="1"/>
    <col min="62" max="62" width="2.85546875" style="1267" customWidth="1"/>
    <col min="63" max="63" width="1.85546875" style="714" customWidth="1"/>
    <col min="64" max="64" width="4.85546875" style="714" customWidth="1"/>
    <col min="65" max="65" width="5.42578125" style="716" customWidth="1"/>
    <col min="66" max="66" width="8.28515625" style="714" customWidth="1"/>
    <col min="67" max="67" width="0.28515625" style="712" customWidth="1"/>
    <col min="68" max="68" width="3" style="712" customWidth="1"/>
    <col min="69" max="69" width="2.42578125" style="718" customWidth="1"/>
    <col min="70" max="70" width="0.5703125" style="714" customWidth="1"/>
    <col min="71" max="71" width="3" style="884" customWidth="1"/>
    <col min="72" max="72" width="2" style="714" customWidth="1"/>
    <col min="73" max="73" width="5.28515625" style="714" customWidth="1"/>
    <col min="74" max="74" width="8.140625" style="712" customWidth="1"/>
    <col min="75" max="75" width="13.28515625" style="712" bestFit="1" customWidth="1"/>
    <col min="76" max="76" width="6" style="713" bestFit="1" customWidth="1"/>
    <col min="77" max="77" width="9.140625" style="713" customWidth="1"/>
    <col min="78" max="79" width="9.140625" style="712" customWidth="1"/>
    <col min="80" max="80" width="7.42578125" style="712" customWidth="1"/>
    <col min="81" max="82" width="9.140625" style="712"/>
    <col min="83" max="83" width="10.28515625" style="714" customWidth="1"/>
    <col min="84" max="84" width="13.85546875" style="714" customWidth="1"/>
    <col min="85" max="86" width="9.140625" style="712"/>
    <col min="87" max="87" width="13.85546875" style="712" customWidth="1"/>
    <col min="88" max="16384" width="9.140625" style="712"/>
  </cols>
  <sheetData>
    <row r="1" spans="1:171" ht="18" customHeight="1" x14ac:dyDescent="0.2">
      <c r="A1" s="886"/>
      <c r="B1" s="2283" t="s">
        <v>414</v>
      </c>
      <c r="C1" s="2283"/>
      <c r="D1" s="2283"/>
      <c r="E1" s="2283"/>
      <c r="F1" s="2283"/>
      <c r="G1" s="2283"/>
      <c r="H1" s="2283"/>
      <c r="I1" s="2283"/>
      <c r="J1" s="2283"/>
      <c r="K1" s="2283"/>
      <c r="L1" s="2283"/>
      <c r="M1" s="2283"/>
      <c r="N1" s="2283"/>
      <c r="O1" s="2283"/>
      <c r="P1" s="2283"/>
      <c r="Q1" s="2283"/>
      <c r="R1" s="2283"/>
      <c r="S1" s="2283"/>
      <c r="T1" s="711"/>
      <c r="U1" s="711"/>
      <c r="V1" s="711"/>
      <c r="W1" s="711"/>
      <c r="X1" s="711"/>
      <c r="Y1" s="711"/>
      <c r="Z1" s="711"/>
      <c r="AA1" s="711"/>
      <c r="AB1" s="711"/>
      <c r="AC1" s="711"/>
      <c r="AD1" s="711"/>
      <c r="AE1" s="711"/>
      <c r="AF1" s="711"/>
      <c r="AG1" s="711"/>
      <c r="AH1" s="711"/>
      <c r="AI1" s="711"/>
      <c r="AJ1" s="711"/>
      <c r="AK1" s="711"/>
      <c r="AL1" s="711"/>
      <c r="AM1" s="711"/>
      <c r="AN1" s="711"/>
      <c r="AO1" s="711"/>
      <c r="AP1" s="711"/>
      <c r="AQ1" s="711"/>
      <c r="AR1" s="711"/>
      <c r="AS1" s="711"/>
      <c r="AT1" s="711"/>
      <c r="AU1" s="711"/>
      <c r="AV1" s="711"/>
      <c r="AW1" s="711"/>
      <c r="AX1" s="711"/>
      <c r="AY1" s="711"/>
      <c r="AZ1" s="711"/>
      <c r="BA1" s="711"/>
      <c r="BB1" s="711"/>
      <c r="BC1" s="711"/>
      <c r="BD1" s="711"/>
      <c r="BE1" s="711"/>
      <c r="BF1" s="711"/>
      <c r="BG1" s="2284" t="s">
        <v>222</v>
      </c>
      <c r="BH1" s="2284"/>
      <c r="BI1" s="2284"/>
      <c r="BJ1" s="2284"/>
      <c r="BK1" s="2284"/>
      <c r="BL1" s="2284"/>
      <c r="BM1" s="2284"/>
      <c r="BN1" s="2284"/>
      <c r="BO1" s="2284"/>
      <c r="BP1" s="2284"/>
      <c r="BQ1" s="2284"/>
      <c r="BR1" s="2284"/>
      <c r="BS1" s="2284"/>
      <c r="BT1" s="2284"/>
      <c r="BU1" s="2284"/>
      <c r="BV1" s="2284"/>
    </row>
    <row r="2" spans="1:171" ht="15.75" customHeight="1" x14ac:dyDescent="0.2">
      <c r="B2" s="2284" t="s">
        <v>566</v>
      </c>
      <c r="C2" s="2284"/>
      <c r="D2" s="2284"/>
      <c r="E2" s="2284"/>
      <c r="F2" s="2284"/>
      <c r="G2" s="2284"/>
      <c r="H2" s="2284"/>
      <c r="I2" s="2284"/>
      <c r="J2" s="2284"/>
      <c r="K2" s="2284"/>
      <c r="L2" s="2284"/>
      <c r="M2" s="2284"/>
      <c r="N2" s="2284"/>
      <c r="O2" s="2284"/>
      <c r="P2" s="2284"/>
      <c r="Q2" s="2284"/>
      <c r="R2" s="2284"/>
      <c r="S2" s="2284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711"/>
      <c r="AI2" s="711"/>
      <c r="AJ2" s="711"/>
      <c r="AK2" s="711"/>
      <c r="AL2" s="711"/>
      <c r="AM2" s="711"/>
      <c r="AN2" s="711"/>
      <c r="AO2" s="711"/>
      <c r="AP2" s="711"/>
      <c r="AQ2" s="711"/>
      <c r="AR2" s="711"/>
      <c r="AS2" s="711"/>
      <c r="AT2" s="711"/>
      <c r="AU2" s="711"/>
      <c r="AV2" s="711"/>
      <c r="AW2" s="711"/>
      <c r="AX2" s="711"/>
      <c r="AY2" s="711"/>
      <c r="AZ2" s="711"/>
      <c r="BA2" s="711"/>
      <c r="BB2" s="711"/>
      <c r="BC2" s="711"/>
      <c r="BD2" s="711"/>
      <c r="BE2" s="711"/>
      <c r="BF2" s="711"/>
      <c r="BG2" s="2284" t="s">
        <v>223</v>
      </c>
      <c r="BH2" s="2284"/>
      <c r="BI2" s="2284"/>
      <c r="BJ2" s="2284"/>
      <c r="BK2" s="2284"/>
      <c r="BL2" s="2284"/>
      <c r="BM2" s="2284"/>
      <c r="BN2" s="2284"/>
      <c r="BO2" s="2284"/>
      <c r="BP2" s="2284"/>
      <c r="BQ2" s="2284"/>
      <c r="BR2" s="2284"/>
      <c r="BS2" s="2284"/>
      <c r="BT2" s="2284"/>
      <c r="BU2" s="2284"/>
      <c r="BV2" s="2284"/>
    </row>
    <row r="3" spans="1:171" s="895" customFormat="1" ht="3.75" customHeight="1" x14ac:dyDescent="0.2">
      <c r="A3" s="887"/>
      <c r="B3" s="712"/>
      <c r="C3" s="887"/>
      <c r="D3" s="887"/>
      <c r="E3" s="888"/>
      <c r="F3" s="889"/>
      <c r="G3" s="889"/>
      <c r="H3" s="889"/>
      <c r="I3" s="889"/>
      <c r="J3" s="890"/>
      <c r="K3" s="891"/>
      <c r="L3" s="891"/>
      <c r="M3" s="891"/>
      <c r="N3" s="891"/>
      <c r="O3" s="891"/>
      <c r="P3" s="891"/>
      <c r="Q3" s="891"/>
      <c r="R3" s="892"/>
      <c r="S3" s="715"/>
      <c r="T3" s="888"/>
      <c r="U3" s="888"/>
      <c r="V3" s="888"/>
      <c r="W3" s="893"/>
      <c r="X3" s="894"/>
      <c r="Y3" s="894"/>
      <c r="Z3" s="889"/>
      <c r="AA3" s="712"/>
      <c r="AB3" s="712"/>
      <c r="AC3" s="712"/>
      <c r="AD3" s="712"/>
      <c r="AE3" s="884"/>
      <c r="AF3" s="884"/>
      <c r="AG3" s="884"/>
      <c r="AH3" s="884"/>
      <c r="AI3" s="884"/>
      <c r="AJ3" s="884"/>
      <c r="AK3" s="884"/>
      <c r="AL3" s="884"/>
      <c r="AM3" s="884"/>
      <c r="AN3" s="884"/>
      <c r="AO3" s="712"/>
      <c r="AP3" s="712"/>
      <c r="AQ3" s="712"/>
      <c r="AR3" s="712"/>
      <c r="AS3" s="712"/>
      <c r="AT3" s="712"/>
      <c r="AU3" s="712"/>
      <c r="AV3" s="712"/>
      <c r="AW3" s="712"/>
      <c r="AX3" s="712"/>
      <c r="AY3" s="891"/>
      <c r="AZ3" s="712"/>
      <c r="BA3" s="712"/>
      <c r="BE3" s="896"/>
      <c r="BG3" s="884"/>
      <c r="BH3" s="712"/>
      <c r="BI3" s="714"/>
      <c r="BJ3" s="1264"/>
      <c r="BK3" s="898"/>
      <c r="BL3" s="714"/>
      <c r="BM3" s="716"/>
      <c r="BN3" s="714"/>
      <c r="BR3" s="899"/>
      <c r="BS3" s="900"/>
      <c r="BT3" s="898"/>
      <c r="BU3" s="714"/>
      <c r="BX3" s="897"/>
      <c r="BY3" s="897"/>
      <c r="CE3" s="899"/>
      <c r="CF3" s="899"/>
      <c r="CI3" s="892"/>
    </row>
    <row r="4" spans="1:171" s="904" customFormat="1" ht="16.5" customHeight="1" x14ac:dyDescent="0.2">
      <c r="A4" s="901"/>
      <c r="B4" s="901"/>
      <c r="C4" s="901"/>
      <c r="D4" s="902"/>
      <c r="E4" s="901"/>
      <c r="F4" s="903"/>
      <c r="G4" s="901"/>
      <c r="H4" s="901"/>
      <c r="I4" s="901"/>
      <c r="J4" s="901"/>
      <c r="K4" s="901"/>
      <c r="L4" s="901"/>
      <c r="M4" s="901"/>
      <c r="N4" s="901"/>
      <c r="O4" s="901"/>
      <c r="P4" s="901"/>
      <c r="Q4" s="902"/>
      <c r="R4" s="892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5"/>
      <c r="AL4" s="905"/>
      <c r="AM4" s="905"/>
      <c r="AN4" s="905"/>
      <c r="AO4" s="905"/>
      <c r="AP4" s="905"/>
      <c r="AQ4" s="905"/>
      <c r="AR4" s="905"/>
      <c r="AS4" s="905"/>
      <c r="AT4" s="905"/>
      <c r="AU4" s="905"/>
      <c r="AV4" s="905"/>
      <c r="AW4" s="905"/>
      <c r="AX4" s="905"/>
      <c r="AY4" s="905"/>
      <c r="AZ4" s="905"/>
      <c r="BA4" s="905"/>
      <c r="BB4" s="905"/>
      <c r="BC4" s="905"/>
      <c r="BD4" s="905"/>
      <c r="BE4" s="905"/>
      <c r="BF4" s="905"/>
      <c r="BG4" s="906"/>
      <c r="BH4" s="905"/>
      <c r="BI4" s="905"/>
      <c r="BJ4" s="1268"/>
      <c r="BK4" s="905"/>
      <c r="BL4" s="905"/>
      <c r="BM4" s="905" t="s">
        <v>673</v>
      </c>
      <c r="BN4" s="905"/>
      <c r="BO4" s="905"/>
      <c r="BP4" s="905"/>
      <c r="BQ4" s="905"/>
      <c r="BR4" s="905"/>
      <c r="BS4" s="905"/>
      <c r="BT4" s="905"/>
      <c r="BU4" s="905"/>
    </row>
    <row r="5" spans="1:171" ht="26.25" customHeight="1" x14ac:dyDescent="0.2">
      <c r="A5" s="893" t="s">
        <v>598</v>
      </c>
      <c r="B5" s="2292" t="s">
        <v>674</v>
      </c>
      <c r="C5" s="2292"/>
      <c r="D5" s="2292"/>
      <c r="E5" s="2292"/>
      <c r="F5" s="2292"/>
      <c r="G5" s="2292"/>
      <c r="H5" s="2292"/>
      <c r="I5" s="2292"/>
      <c r="J5" s="2292"/>
      <c r="K5" s="2292"/>
      <c r="L5" s="2292"/>
      <c r="M5" s="2292"/>
      <c r="N5" s="2292"/>
      <c r="O5" s="2292"/>
      <c r="P5" s="2292"/>
      <c r="Q5" s="2292"/>
      <c r="R5" s="2292"/>
      <c r="S5" s="2292"/>
      <c r="T5" s="2292"/>
      <c r="U5" s="2292"/>
      <c r="V5" s="2292"/>
      <c r="W5" s="2292"/>
      <c r="X5" s="2292"/>
      <c r="Y5" s="2292"/>
      <c r="Z5" s="2292"/>
      <c r="AA5" s="2292"/>
      <c r="AB5" s="2292"/>
      <c r="AC5" s="2292"/>
      <c r="AD5" s="2292"/>
      <c r="AE5" s="2292"/>
      <c r="AF5" s="2292"/>
      <c r="AG5" s="2292"/>
      <c r="AH5" s="2292"/>
      <c r="AI5" s="2292"/>
      <c r="AJ5" s="2292"/>
      <c r="AK5" s="2292"/>
      <c r="AL5" s="2292"/>
      <c r="AM5" s="2292"/>
      <c r="AN5" s="2292"/>
      <c r="AO5" s="2292"/>
      <c r="AP5" s="2292"/>
      <c r="AQ5" s="2292"/>
      <c r="AR5" s="2292"/>
      <c r="AS5" s="2292"/>
      <c r="AT5" s="2292"/>
      <c r="AU5" s="2292"/>
      <c r="AV5" s="2292"/>
      <c r="AW5" s="2292"/>
      <c r="AX5" s="2292"/>
      <c r="AY5" s="2292"/>
      <c r="AZ5" s="2292"/>
      <c r="BA5" s="2292"/>
      <c r="BB5" s="2292"/>
      <c r="BC5" s="2292"/>
      <c r="BD5" s="2292"/>
      <c r="BE5" s="2292"/>
      <c r="BF5" s="2292"/>
      <c r="BG5" s="2292"/>
      <c r="BH5" s="2292"/>
      <c r="BI5" s="2292"/>
      <c r="BJ5" s="2292"/>
      <c r="BK5" s="2292"/>
      <c r="BL5" s="2292"/>
      <c r="BM5" s="2292"/>
      <c r="BN5" s="2292"/>
      <c r="BO5" s="2292"/>
      <c r="BP5" s="2292"/>
      <c r="BQ5" s="2292"/>
      <c r="BR5" s="2292"/>
      <c r="BS5" s="2292"/>
      <c r="BT5" s="2292"/>
      <c r="BU5" s="2292"/>
      <c r="BV5" s="2292"/>
      <c r="BW5" s="907"/>
      <c r="BX5" s="907"/>
      <c r="BY5" s="907"/>
      <c r="BZ5" s="907"/>
      <c r="CA5" s="907"/>
      <c r="CB5" s="907"/>
      <c r="CD5" s="712" t="s">
        <v>495</v>
      </c>
    </row>
    <row r="6" spans="1:171" s="2132" customFormat="1" ht="17.25" customHeight="1" x14ac:dyDescent="0.2">
      <c r="A6" s="800"/>
      <c r="B6" s="719" t="s">
        <v>664</v>
      </c>
      <c r="C6" s="719"/>
      <c r="D6" s="719"/>
      <c r="E6" s="719"/>
      <c r="F6" s="719"/>
      <c r="G6" s="719"/>
      <c r="H6" s="719"/>
      <c r="I6" s="719"/>
      <c r="J6" s="719"/>
      <c r="K6" s="719"/>
      <c r="L6" s="719"/>
      <c r="M6" s="719"/>
      <c r="N6" s="719"/>
      <c r="O6" s="719"/>
      <c r="P6" s="719"/>
      <c r="Q6" s="719"/>
      <c r="R6" s="719"/>
      <c r="S6" s="719"/>
      <c r="T6" s="719"/>
      <c r="U6" s="719"/>
      <c r="V6" s="719"/>
      <c r="W6" s="719"/>
      <c r="X6" s="719"/>
      <c r="Y6" s="719"/>
      <c r="Z6" s="719"/>
      <c r="AA6" s="719"/>
      <c r="AB6" s="719"/>
      <c r="AC6" s="719"/>
      <c r="AD6" s="719"/>
      <c r="AE6" s="719"/>
      <c r="AF6" s="719"/>
      <c r="AG6" s="719"/>
      <c r="AH6" s="719"/>
      <c r="AI6" s="719"/>
      <c r="AJ6" s="719"/>
      <c r="AK6" s="719"/>
      <c r="AL6" s="719"/>
      <c r="AM6" s="719"/>
      <c r="AN6" s="719"/>
      <c r="AO6" s="719"/>
      <c r="AP6" s="719"/>
      <c r="AQ6" s="719"/>
      <c r="AR6" s="719"/>
      <c r="AS6" s="719"/>
      <c r="AT6" s="719"/>
      <c r="AU6" s="719"/>
      <c r="AV6" s="719"/>
      <c r="AW6" s="719"/>
      <c r="AX6" s="719"/>
      <c r="AY6" s="719"/>
      <c r="AZ6" s="719"/>
      <c r="BA6" s="719"/>
      <c r="BB6" s="719"/>
      <c r="BC6" s="719"/>
      <c r="BD6" s="719"/>
      <c r="BE6" s="719"/>
      <c r="BF6" s="719"/>
      <c r="BG6" s="828"/>
      <c r="BH6" s="719"/>
      <c r="BI6" s="719"/>
      <c r="BJ6" s="2267"/>
      <c r="BK6" s="719"/>
      <c r="BL6" s="719"/>
      <c r="BM6" s="719"/>
      <c r="BN6" s="719"/>
      <c r="BO6" s="719"/>
      <c r="BP6" s="719"/>
      <c r="BQ6" s="719"/>
      <c r="BR6" s="719"/>
      <c r="BS6" s="719"/>
      <c r="BT6" s="719"/>
      <c r="BU6" s="719"/>
      <c r="BV6" s="719"/>
      <c r="BW6" s="2140"/>
      <c r="BX6" s="2140"/>
      <c r="BY6" s="2140"/>
      <c r="BZ6" s="2140"/>
      <c r="CB6" s="2126"/>
      <c r="CC6" s="2142"/>
      <c r="CD6" s="800"/>
    </row>
    <row r="7" spans="1:171" s="2132" customFormat="1" ht="12" customHeight="1" x14ac:dyDescent="0.2">
      <c r="A7" s="800"/>
      <c r="B7" s="2357" t="s">
        <v>666</v>
      </c>
      <c r="C7" s="2357"/>
      <c r="D7" s="2357"/>
      <c r="E7" s="2357"/>
      <c r="F7" s="2357"/>
      <c r="G7" s="2357"/>
      <c r="H7" s="2357"/>
      <c r="I7" s="2357"/>
      <c r="J7" s="2357"/>
      <c r="K7" s="2357"/>
      <c r="L7" s="2357"/>
      <c r="M7" s="2357"/>
      <c r="N7" s="2357"/>
      <c r="O7" s="2357"/>
      <c r="P7" s="2357"/>
      <c r="Q7" s="2357"/>
      <c r="R7" s="2357"/>
      <c r="S7" s="2357"/>
      <c r="T7" s="2357"/>
      <c r="U7" s="2357"/>
      <c r="V7" s="2357"/>
      <c r="W7" s="2357"/>
      <c r="X7" s="2357"/>
      <c r="Y7" s="2357"/>
      <c r="Z7" s="2357"/>
      <c r="AA7" s="2357"/>
      <c r="AB7" s="2357"/>
      <c r="AC7" s="2357"/>
      <c r="AD7" s="2357"/>
      <c r="AE7" s="2357"/>
      <c r="AF7" s="2357"/>
      <c r="AG7" s="2357"/>
      <c r="AH7" s="2357"/>
      <c r="AI7" s="2357"/>
      <c r="AJ7" s="2357"/>
      <c r="AK7" s="2357"/>
      <c r="AL7" s="2357"/>
      <c r="AM7" s="2357"/>
      <c r="AN7" s="2357"/>
      <c r="AO7" s="2357"/>
      <c r="AP7" s="2357"/>
      <c r="AQ7" s="2357"/>
      <c r="AR7" s="2357"/>
      <c r="AS7" s="2357"/>
      <c r="AT7" s="2357"/>
      <c r="AU7" s="2357"/>
      <c r="AV7" s="2357"/>
      <c r="AW7" s="2357"/>
      <c r="AX7" s="2357"/>
      <c r="AY7" s="2357"/>
      <c r="AZ7" s="2357"/>
      <c r="BA7" s="2357"/>
      <c r="BB7" s="2357"/>
      <c r="BC7" s="2357"/>
      <c r="BD7" s="2357"/>
      <c r="BE7" s="2357"/>
      <c r="BF7" s="2357"/>
      <c r="BG7" s="2357"/>
      <c r="BH7" s="2357"/>
      <c r="BI7" s="2357"/>
      <c r="BJ7" s="2357"/>
      <c r="BK7" s="2357"/>
      <c r="BL7" s="2357"/>
      <c r="BM7" s="2357"/>
      <c r="BN7" s="2357"/>
      <c r="BO7" s="2357"/>
      <c r="BP7" s="2357"/>
      <c r="BQ7" s="2357"/>
      <c r="BR7" s="2357"/>
      <c r="BS7" s="2357"/>
      <c r="BT7" s="2357"/>
      <c r="BU7" s="2357"/>
      <c r="BV7" s="2357"/>
      <c r="BW7" s="2140"/>
      <c r="BX7" s="2140"/>
      <c r="BY7" s="2140"/>
      <c r="BZ7" s="2140"/>
      <c r="CB7" s="2126"/>
      <c r="CC7" s="2142"/>
      <c r="CD7" s="800"/>
    </row>
    <row r="8" spans="1:171" ht="12" customHeight="1" x14ac:dyDescent="0.2">
      <c r="B8" s="2357" t="s">
        <v>672</v>
      </c>
      <c r="C8" s="2357"/>
      <c r="D8" s="2357"/>
      <c r="E8" s="2357"/>
      <c r="F8" s="2357"/>
      <c r="G8" s="2357"/>
      <c r="H8" s="2357"/>
      <c r="I8" s="2357"/>
      <c r="J8" s="2357"/>
      <c r="K8" s="2357"/>
      <c r="L8" s="2357"/>
      <c r="M8" s="2357"/>
      <c r="N8" s="2357"/>
      <c r="O8" s="2357"/>
      <c r="P8" s="2357"/>
      <c r="Q8" s="2357"/>
      <c r="R8" s="2357"/>
      <c r="S8" s="2357"/>
      <c r="T8" s="2357"/>
      <c r="U8" s="2357"/>
      <c r="V8" s="2357"/>
      <c r="W8" s="2357"/>
      <c r="X8" s="2357"/>
      <c r="Y8" s="2357"/>
      <c r="Z8" s="2357"/>
      <c r="AA8" s="2357"/>
      <c r="AB8" s="2357"/>
      <c r="AC8" s="2357"/>
      <c r="AD8" s="2357"/>
      <c r="AE8" s="2357"/>
      <c r="AF8" s="2357"/>
      <c r="AG8" s="2357"/>
      <c r="AH8" s="2357"/>
      <c r="AI8" s="2357"/>
      <c r="AJ8" s="2357"/>
      <c r="AK8" s="2357"/>
      <c r="AL8" s="2357"/>
      <c r="AM8" s="2357"/>
      <c r="AN8" s="2357"/>
      <c r="AO8" s="2357"/>
      <c r="AP8" s="2357"/>
      <c r="AQ8" s="2357"/>
      <c r="AR8" s="2357"/>
      <c r="AS8" s="2357"/>
      <c r="AT8" s="2357"/>
      <c r="AU8" s="2357"/>
      <c r="AV8" s="2357"/>
      <c r="AW8" s="2357"/>
      <c r="AX8" s="2357"/>
      <c r="AY8" s="2357"/>
      <c r="AZ8" s="2357"/>
      <c r="BA8" s="2357"/>
      <c r="BB8" s="2357"/>
      <c r="BC8" s="2357"/>
      <c r="BD8" s="2357"/>
      <c r="BE8" s="2357"/>
      <c r="BF8" s="2357"/>
      <c r="BG8" s="2357"/>
      <c r="BH8" s="2357"/>
      <c r="BI8" s="2357"/>
      <c r="BJ8" s="2357"/>
      <c r="BK8" s="2357"/>
      <c r="BL8" s="2357"/>
      <c r="BM8" s="2357"/>
      <c r="BN8" s="2357"/>
      <c r="BO8" s="2357"/>
      <c r="BP8" s="2357"/>
      <c r="BQ8" s="2357"/>
      <c r="BR8" s="2357"/>
      <c r="BS8" s="2357"/>
      <c r="BT8" s="2357"/>
      <c r="BU8" s="2357"/>
      <c r="BV8" s="2357"/>
    </row>
    <row r="9" spans="1:171" s="1143" customFormat="1" ht="18" customHeight="1" x14ac:dyDescent="0.2">
      <c r="A9" s="1141"/>
      <c r="B9" s="2293" t="s">
        <v>315</v>
      </c>
      <c r="C9" s="2294"/>
      <c r="D9" s="2294"/>
      <c r="E9" s="2293"/>
      <c r="F9" s="1142" t="s">
        <v>275</v>
      </c>
      <c r="H9" s="1144"/>
      <c r="I9" s="1145"/>
      <c r="J9" s="1146"/>
      <c r="K9" s="1144"/>
      <c r="L9" s="1144"/>
      <c r="M9" s="1144"/>
      <c r="N9" s="1144"/>
      <c r="O9" s="1144"/>
      <c r="P9" s="1144"/>
      <c r="Q9" s="1144"/>
      <c r="R9" s="2294" t="s">
        <v>615</v>
      </c>
      <c r="S9" s="2294"/>
      <c r="T9" s="1138"/>
      <c r="U9" s="1138"/>
      <c r="V9" s="1138"/>
      <c r="W9" s="1147"/>
      <c r="X9" s="1148"/>
      <c r="Y9" s="1138"/>
      <c r="Z9" s="1138"/>
      <c r="AA9" s="1138"/>
      <c r="AB9" s="1144"/>
      <c r="AC9" s="1146"/>
      <c r="AD9" s="1144"/>
      <c r="AE9" s="1144"/>
      <c r="AF9" s="1144"/>
      <c r="AG9" s="1144"/>
      <c r="AH9" s="1144"/>
      <c r="AI9" s="1144"/>
      <c r="AJ9" s="1144"/>
      <c r="AK9" s="1144"/>
      <c r="AL9" s="1144"/>
      <c r="AM9" s="1144"/>
      <c r="AN9" s="1144"/>
      <c r="AO9" s="1144"/>
      <c r="AP9" s="1145"/>
      <c r="AQ9" s="1145"/>
      <c r="AR9" s="1149"/>
      <c r="AS9" s="1149"/>
      <c r="AT9" s="1144"/>
      <c r="AU9" s="1138"/>
      <c r="AV9" s="1138"/>
      <c r="AW9" s="1138" t="s">
        <v>398</v>
      </c>
      <c r="AX9" s="1138"/>
      <c r="AZ9" s="1138"/>
      <c r="BA9" s="1138"/>
      <c r="BE9" s="1150"/>
      <c r="BG9" s="1148"/>
      <c r="BH9" s="1138"/>
      <c r="BI9" s="1140"/>
      <c r="BJ9" s="1265"/>
      <c r="BK9" s="1151"/>
      <c r="BL9" s="1140"/>
      <c r="BM9" s="1152"/>
      <c r="BN9" s="1140"/>
      <c r="BR9" s="1151"/>
      <c r="BS9" s="1150"/>
      <c r="BT9" s="1151"/>
      <c r="BU9" s="1140"/>
      <c r="CD9" s="1143" t="s">
        <v>496</v>
      </c>
      <c r="CE9" s="1151"/>
      <c r="CF9" s="1151"/>
      <c r="CI9" s="1138" t="s">
        <v>224</v>
      </c>
    </row>
    <row r="10" spans="1:171" s="1138" customFormat="1" ht="1.5" customHeight="1" x14ac:dyDescent="0.2">
      <c r="B10" s="1138" t="s">
        <v>151</v>
      </c>
      <c r="R10" s="1153"/>
      <c r="S10" s="1154"/>
      <c r="W10" s="1147"/>
      <c r="X10" s="1148"/>
      <c r="AE10" s="1148"/>
      <c r="AF10" s="1148"/>
      <c r="AG10" s="1148"/>
      <c r="AH10" s="1148"/>
      <c r="AI10" s="1148"/>
      <c r="AJ10" s="1148"/>
      <c r="AK10" s="1148"/>
      <c r="AL10" s="1148"/>
      <c r="AM10" s="1148"/>
      <c r="AN10" s="1148"/>
      <c r="BE10" s="1148"/>
      <c r="BG10" s="1148"/>
      <c r="BI10" s="1140"/>
      <c r="BJ10" s="1266"/>
      <c r="BK10" s="1140"/>
      <c r="BL10" s="1140"/>
      <c r="BM10" s="1152"/>
      <c r="BN10" s="1140"/>
      <c r="BQ10" s="1155"/>
      <c r="BR10" s="1140"/>
      <c r="BS10" s="1148"/>
      <c r="BT10" s="1140"/>
      <c r="BU10" s="1140"/>
      <c r="BX10" s="1139"/>
      <c r="BY10" s="1139"/>
      <c r="CD10" s="1138" t="s">
        <v>497</v>
      </c>
      <c r="CE10" s="1140"/>
      <c r="CF10" s="1140"/>
    </row>
    <row r="11" spans="1:171" s="1159" customFormat="1" ht="24.75" customHeight="1" x14ac:dyDescent="0.2">
      <c r="A11" s="1137" t="s">
        <v>299</v>
      </c>
      <c r="B11" s="2291" t="s">
        <v>537</v>
      </c>
      <c r="C11" s="1156"/>
      <c r="D11" s="2295" t="s">
        <v>111</v>
      </c>
      <c r="E11" s="2291" t="s">
        <v>538</v>
      </c>
      <c r="F11" s="2295" t="s">
        <v>539</v>
      </c>
      <c r="G11" s="1157" t="s">
        <v>390</v>
      </c>
      <c r="H11" s="1157"/>
      <c r="I11" s="1157"/>
      <c r="J11" s="1157"/>
      <c r="K11" s="1157"/>
      <c r="L11" s="1157"/>
      <c r="M11" s="1157"/>
      <c r="N11" s="1157"/>
      <c r="O11" s="1157"/>
      <c r="P11" s="1157"/>
      <c r="Q11" s="1157"/>
      <c r="R11" s="2291" t="s">
        <v>540</v>
      </c>
      <c r="S11" s="2291"/>
      <c r="T11" s="1156"/>
      <c r="U11" s="1156"/>
      <c r="V11" s="1158"/>
      <c r="W11" s="2291" t="s">
        <v>552</v>
      </c>
      <c r="X11" s="2291"/>
      <c r="Y11" s="2291"/>
      <c r="Z11" s="1157"/>
      <c r="AA11" s="1157"/>
      <c r="AB11" s="1157" t="s">
        <v>225</v>
      </c>
      <c r="AC11" s="1157"/>
      <c r="AD11" s="1157"/>
      <c r="AE11" s="1157"/>
      <c r="AF11" s="1157"/>
      <c r="AG11" s="1157"/>
      <c r="AH11" s="1157"/>
      <c r="AI11" s="1157"/>
      <c r="AJ11" s="1157"/>
      <c r="AK11" s="1157"/>
      <c r="AL11" s="1157"/>
      <c r="AM11" s="1157"/>
      <c r="AN11" s="1157"/>
      <c r="AO11" s="1157"/>
      <c r="AP11" s="1157"/>
      <c r="AQ11" s="1157"/>
      <c r="AR11" s="1157" t="s">
        <v>399</v>
      </c>
      <c r="AS11" s="1157"/>
      <c r="AT11" s="1157"/>
      <c r="AU11" s="1157"/>
      <c r="AV11" s="1157"/>
      <c r="AW11" s="1157"/>
      <c r="AX11" s="1157"/>
      <c r="AY11" s="1157"/>
      <c r="AZ11" s="1157"/>
      <c r="BA11" s="1157"/>
      <c r="BB11" s="1157"/>
      <c r="BC11" s="1157"/>
      <c r="BD11" s="1157"/>
      <c r="BE11" s="1156"/>
      <c r="BF11" s="2291" t="s">
        <v>542</v>
      </c>
      <c r="BG11" s="2291"/>
      <c r="BH11" s="2291"/>
      <c r="BI11" s="2291"/>
      <c r="BJ11" s="2291"/>
      <c r="BK11" s="2291"/>
      <c r="BL11" s="2291"/>
      <c r="BM11" s="2307" t="s">
        <v>544</v>
      </c>
      <c r="BN11" s="2308"/>
      <c r="BO11" s="2291" t="s">
        <v>545</v>
      </c>
      <c r="BP11" s="2291"/>
      <c r="BQ11" s="2291"/>
      <c r="BR11" s="2291"/>
      <c r="BS11" s="2291"/>
      <c r="BT11" s="2291"/>
      <c r="BU11" s="2291"/>
      <c r="BV11" s="2311" t="s">
        <v>399</v>
      </c>
      <c r="BW11" s="2291"/>
      <c r="BX11" s="2291"/>
      <c r="BY11" s="1156"/>
      <c r="BZ11" s="1156"/>
      <c r="CA11" s="2291"/>
      <c r="CB11" s="2291"/>
      <c r="CE11" s="1160"/>
      <c r="CF11" s="1160"/>
    </row>
    <row r="12" spans="1:171" s="1159" customFormat="1" ht="12.75" customHeight="1" x14ac:dyDescent="0.2">
      <c r="A12" s="1137"/>
      <c r="B12" s="2291"/>
      <c r="C12" s="1156"/>
      <c r="D12" s="2296"/>
      <c r="E12" s="2291"/>
      <c r="F12" s="2296"/>
      <c r="G12" s="1157"/>
      <c r="H12" s="1157"/>
      <c r="I12" s="1157"/>
      <c r="J12" s="1157"/>
      <c r="K12" s="1157"/>
      <c r="L12" s="1157"/>
      <c r="M12" s="1157"/>
      <c r="N12" s="1157"/>
      <c r="O12" s="1157"/>
      <c r="P12" s="1157"/>
      <c r="Q12" s="1157"/>
      <c r="R12" s="2291"/>
      <c r="S12" s="2291"/>
      <c r="T12" s="1156"/>
      <c r="U12" s="1156"/>
      <c r="V12" s="1161"/>
      <c r="W12" s="2291"/>
      <c r="X12" s="2291"/>
      <c r="Y12" s="2291"/>
      <c r="Z12" s="1157"/>
      <c r="AA12" s="1157"/>
      <c r="AB12" s="1157"/>
      <c r="AC12" s="1157"/>
      <c r="AD12" s="1157"/>
      <c r="AE12" s="1157"/>
      <c r="AF12" s="1157"/>
      <c r="AG12" s="1157"/>
      <c r="AH12" s="1157"/>
      <c r="AI12" s="1157"/>
      <c r="AJ12" s="1157"/>
      <c r="AK12" s="1157"/>
      <c r="AL12" s="1157"/>
      <c r="AM12" s="1157"/>
      <c r="AN12" s="1157"/>
      <c r="AO12" s="1157"/>
      <c r="AP12" s="1157"/>
      <c r="AQ12" s="1157"/>
      <c r="AR12" s="1157"/>
      <c r="AS12" s="1157"/>
      <c r="AT12" s="1157"/>
      <c r="AU12" s="1157"/>
      <c r="AV12" s="1157"/>
      <c r="AW12" s="1157"/>
      <c r="AX12" s="1157"/>
      <c r="AY12" s="1157"/>
      <c r="AZ12" s="1157"/>
      <c r="BA12" s="1157"/>
      <c r="BB12" s="1157"/>
      <c r="BC12" s="1157"/>
      <c r="BD12" s="1157"/>
      <c r="BE12" s="1156"/>
      <c r="BF12" s="2298" t="s">
        <v>490</v>
      </c>
      <c r="BG12" s="2299"/>
      <c r="BH12" s="1162"/>
      <c r="BI12" s="1156"/>
      <c r="BJ12" s="2300" t="s">
        <v>541</v>
      </c>
      <c r="BK12" s="2300"/>
      <c r="BL12" s="2300"/>
      <c r="BM12" s="2309"/>
      <c r="BN12" s="2310"/>
      <c r="BO12" s="2300" t="s">
        <v>490</v>
      </c>
      <c r="BP12" s="2300"/>
      <c r="BQ12" s="2300"/>
      <c r="BR12" s="1163"/>
      <c r="BS12" s="2301" t="s">
        <v>541</v>
      </c>
      <c r="BT12" s="2302"/>
      <c r="BU12" s="2303"/>
      <c r="BV12" s="2311"/>
      <c r="BW12" s="2291"/>
      <c r="BX12" s="2291"/>
      <c r="BY12" s="1156"/>
      <c r="BZ12" s="1156"/>
      <c r="CA12" s="2291"/>
      <c r="CB12" s="2291"/>
      <c r="CE12" s="1160"/>
      <c r="CF12" s="1160"/>
    </row>
    <row r="13" spans="1:171" s="1137" customFormat="1" ht="38.25" customHeight="1" x14ac:dyDescent="0.2">
      <c r="B13" s="2291"/>
      <c r="C13" s="1156"/>
      <c r="D13" s="2297"/>
      <c r="E13" s="2291"/>
      <c r="F13" s="2297"/>
      <c r="G13" s="1157"/>
      <c r="H13" s="1157"/>
      <c r="I13" s="1157"/>
      <c r="J13" s="1157"/>
      <c r="K13" s="1157"/>
      <c r="L13" s="1157"/>
      <c r="M13" s="1157"/>
      <c r="N13" s="1157"/>
      <c r="O13" s="1157"/>
      <c r="P13" s="1157"/>
      <c r="Q13" s="1157"/>
      <c r="R13" s="2291"/>
      <c r="S13" s="2291"/>
      <c r="T13" s="1156"/>
      <c r="U13" s="1156"/>
      <c r="V13" s="1164"/>
      <c r="W13" s="2291"/>
      <c r="X13" s="2291"/>
      <c r="Y13" s="2291"/>
      <c r="Z13" s="1157"/>
      <c r="AA13" s="1157"/>
      <c r="AB13" s="1157" t="s">
        <v>214</v>
      </c>
      <c r="AC13" s="1157"/>
      <c r="AD13" s="1157" t="s">
        <v>215</v>
      </c>
      <c r="AE13" s="1157"/>
      <c r="AF13" s="1157"/>
      <c r="AG13" s="1157"/>
      <c r="AH13" s="1157"/>
      <c r="AI13" s="1157"/>
      <c r="AJ13" s="1157"/>
      <c r="AK13" s="1157"/>
      <c r="AL13" s="1157"/>
      <c r="AM13" s="1157"/>
      <c r="AN13" s="1157"/>
      <c r="AO13" s="1157" t="s">
        <v>226</v>
      </c>
      <c r="AP13" s="1157"/>
      <c r="AQ13" s="1157"/>
      <c r="AR13" s="1157"/>
      <c r="AS13" s="1157"/>
      <c r="AT13" s="1157" t="s">
        <v>227</v>
      </c>
      <c r="AU13" s="1157" t="s">
        <v>228</v>
      </c>
      <c r="AV13" s="1165" t="s">
        <v>229</v>
      </c>
      <c r="AW13" s="1157"/>
      <c r="AX13" s="1157"/>
      <c r="AY13" s="1157"/>
      <c r="AZ13" s="1157"/>
      <c r="BA13" s="1157"/>
      <c r="BB13" s="1157"/>
      <c r="BC13" s="1157"/>
      <c r="BD13" s="1157"/>
      <c r="BE13" s="1156"/>
      <c r="BF13" s="2298"/>
      <c r="BG13" s="2299"/>
      <c r="BH13" s="1166"/>
      <c r="BI13" s="1167"/>
      <c r="BJ13" s="2300"/>
      <c r="BK13" s="2300"/>
      <c r="BL13" s="2300"/>
      <c r="BM13" s="1168" t="s">
        <v>536</v>
      </c>
      <c r="BN13" s="1169" t="s">
        <v>549</v>
      </c>
      <c r="BO13" s="2300"/>
      <c r="BP13" s="2300"/>
      <c r="BQ13" s="2300"/>
      <c r="BR13" s="1170"/>
      <c r="BS13" s="2304"/>
      <c r="BT13" s="2305"/>
      <c r="BU13" s="2306"/>
      <c r="BV13" s="2311"/>
      <c r="BW13" s="2291"/>
      <c r="BX13" s="2291"/>
      <c r="BY13" s="1156"/>
      <c r="BZ13" s="1156"/>
      <c r="CA13" s="2291"/>
      <c r="CB13" s="2291"/>
      <c r="CE13" s="1171"/>
      <c r="CF13" s="1171"/>
    </row>
    <row r="14" spans="1:171" s="799" customFormat="1" ht="30.75" customHeight="1" x14ac:dyDescent="0.2">
      <c r="A14" s="720">
        <v>237</v>
      </c>
      <c r="B14" s="721">
        <v>1</v>
      </c>
      <c r="C14" s="720"/>
      <c r="D14" s="720" t="str">
        <f t="shared" ref="D14:D35" si="0">IF(F14="Nam","Ông","Bà")</f>
        <v>Ông</v>
      </c>
      <c r="E14" s="722" t="s">
        <v>52</v>
      </c>
      <c r="F14" s="720" t="s">
        <v>379</v>
      </c>
      <c r="G14" s="723" t="s">
        <v>278</v>
      </c>
      <c r="H14" s="724" t="s">
        <v>360</v>
      </c>
      <c r="I14" s="725" t="s">
        <v>342</v>
      </c>
      <c r="J14" s="724" t="s">
        <v>360</v>
      </c>
      <c r="K14" s="726" t="s">
        <v>314</v>
      </c>
      <c r="L14" s="727" t="s">
        <v>452</v>
      </c>
      <c r="M14" s="728" t="str">
        <f t="shared" ref="M14:M35" si="1">IF(L14="công chức","CC",IF(L14="viên chức","VC",IF(L14="người lao động","NLĐ","- - -")))</f>
        <v>VC</v>
      </c>
      <c r="N14" s="729"/>
      <c r="O14" s="730" t="str">
        <f t="shared" ref="O14:O35" si="2">IF(AND((Q14+0)&gt;0.3,(Q14+0)&lt;1.5),"CVụ","- -")</f>
        <v>CVụ</v>
      </c>
      <c r="P14" s="731" t="s">
        <v>243</v>
      </c>
      <c r="Q14" s="732">
        <f>VLOOKUP(P14,'Du lieu lien quan'!$C$2:$H$115,2,0)</f>
        <v>1</v>
      </c>
      <c r="R14" s="801"/>
      <c r="S14" s="802" t="s">
        <v>556</v>
      </c>
      <c r="T14" s="733" t="str">
        <f>VLOOKUP(Y14,'Du lieu lien quan'!$C$2:$H$60,5,0)</f>
        <v>A3</v>
      </c>
      <c r="U14" s="734" t="str">
        <f>VLOOKUP(Y14,'Du lieu lien quan'!$C$2:$H$60,6,0)</f>
        <v>A3.1</v>
      </c>
      <c r="V14" s="803" t="s">
        <v>424</v>
      </c>
      <c r="W14" s="804" t="str">
        <f t="shared" ref="W14:W35" si="3">IF(OR(Y14="Kỹ thuật viên đánh máy",Y14="Nhân viên đánh máy",Y14="Nhân viên kỹ thuật",Y14="Nhân viên văn thư",Y14="Nhân viên phục vụ",Y14="Lái xe cơ quan",Y14="Nhân viên bảo vệ"),"Nhân viên",Y14)</f>
        <v>Giảng viên cao cấp (hạng I)</v>
      </c>
      <c r="X14" s="805" t="str">
        <f t="shared" ref="X14:X35" si="4">IF(W14="Nhân viên","01.005",Z14)</f>
        <v>V.07.01.01</v>
      </c>
      <c r="Y14" s="735" t="s">
        <v>429</v>
      </c>
      <c r="Z14" s="735" t="str">
        <f>VLOOKUP(Y14,'Du lieu lien quan'!$C$1:$H$133,2,0)</f>
        <v>V.07.01.01</v>
      </c>
      <c r="AA14" s="736" t="str">
        <f t="shared" ref="AA14:AA35" si="5">IF(OR(AND(BC14=36,BB14=3),AND(BC14=24,BB14=2),AND(BC14=12,BB14=1)),"Đến $",IF(OR(AND(BC14&gt;36,BB14=3),AND(BC14&gt;24,BB14=2),AND(BC14&gt;12,BB14=1)),"Dừng $","Lương"))</f>
        <v>Lương</v>
      </c>
      <c r="AB14" s="737">
        <v>3</v>
      </c>
      <c r="AC14" s="738" t="str">
        <f>IF(AD14&gt;0,"/")</f>
        <v>/</v>
      </c>
      <c r="AD14" s="739">
        <f>IF(OR(BE14=0.18,BE14=0.2),12,IF(BE14=0.31,10,IF(BE14=0.33,9,IF(BE14=0.34,8,IF(BE14=0.36,6)))))</f>
        <v>6</v>
      </c>
      <c r="AE14" s="740">
        <f t="shared" ref="AE14:AE35" si="6">BD14+(AB14-1)*BE14</f>
        <v>6.92</v>
      </c>
      <c r="AF14" s="741"/>
      <c r="AG14" s="741"/>
      <c r="AH14" s="742" t="s">
        <v>342</v>
      </c>
      <c r="AI14" s="743" t="s">
        <v>360</v>
      </c>
      <c r="AJ14" s="744" t="s">
        <v>346</v>
      </c>
      <c r="AK14" s="743" t="s">
        <v>360</v>
      </c>
      <c r="AL14" s="745">
        <v>2017</v>
      </c>
      <c r="AM14" s="746"/>
      <c r="AN14" s="747"/>
      <c r="AO14" s="748">
        <f t="shared" ref="AO14:AO35" si="7">AB14+1</f>
        <v>4</v>
      </c>
      <c r="AP14" s="749" t="str">
        <f t="shared" ref="AP14:AP35" si="8">IF(AD14=AB14,"%",IF(AD14&gt;AB14,"/"))</f>
        <v>/</v>
      </c>
      <c r="AQ14" s="750">
        <f t="shared" ref="AQ14:AQ35" si="9">IF(AND(AD14=AB14,AO14=4),5,IF(AND(AD14=AB14,AO14&gt;4),AO14+1,IF(AD14&gt;AB14,AD14)))</f>
        <v>6</v>
      </c>
      <c r="AR14" s="751">
        <f t="shared" ref="AR14:AR35" si="10">IF(AD14=AB14,"%",IF(AD14&gt;AB14,AE14+BE14))</f>
        <v>7.28</v>
      </c>
      <c r="AS14" s="752"/>
      <c r="AT14" s="753" t="s">
        <v>342</v>
      </c>
      <c r="AU14" s="754" t="s">
        <v>360</v>
      </c>
      <c r="AV14" s="755" t="s">
        <v>346</v>
      </c>
      <c r="AW14" s="754" t="s">
        <v>360</v>
      </c>
      <c r="AX14" s="756">
        <v>2020</v>
      </c>
      <c r="AY14" s="757"/>
      <c r="AZ14" s="758"/>
      <c r="BA14" s="759"/>
      <c r="BB14" s="760">
        <f t="shared" ref="BB14:BB35" si="11">IF(AND(AD14&gt;AB14,OR(BE14=0.18,BE14=0.2)),2,IF(AND(AD14&gt;AB14,OR(BE14=0.31,BE14=0.33,BE14=0.34,BE14=0.36)),3,IF(AD14=AB14,1)))</f>
        <v>3</v>
      </c>
      <c r="BC14" s="761">
        <f t="shared" ref="BC14:BC35" si="12">12*($AA$2-AX14)+($AA$3-AV14)-AM14</f>
        <v>-24248</v>
      </c>
      <c r="BD14" s="761">
        <f>VLOOKUP(Y14,'Du lieu lien quan'!$C$1:$F$60,3,0)</f>
        <v>6.2</v>
      </c>
      <c r="BE14" s="762">
        <f>VLOOKUP(Y14,'Du lieu lien quan'!$C$1:$F$60,4,0)</f>
        <v>0.36</v>
      </c>
      <c r="BF14" s="763" t="e">
        <f t="shared" ref="BF14:BF35" si="13">IF(AND(BG14&gt;3,BY14=12),"Đến %",IF(AND(BG14&gt;3,BY14&gt;12,BY14&lt;120),"Dừng %",IF(AND(BG14&gt;3,BY14&lt;12),"PCTN","o-o-o")))</f>
        <v>#VALUE!</v>
      </c>
      <c r="BG14" s="878">
        <v>37</v>
      </c>
      <c r="BH14" s="764" t="s">
        <v>333</v>
      </c>
      <c r="BI14" s="765" t="s">
        <v>342</v>
      </c>
      <c r="BJ14" s="2272">
        <v>10</v>
      </c>
      <c r="BK14" s="807" t="s">
        <v>360</v>
      </c>
      <c r="BL14" s="2264">
        <v>2021</v>
      </c>
      <c r="BM14" s="808"/>
      <c r="BN14" s="809"/>
      <c r="BO14" s="767"/>
      <c r="BP14" s="810">
        <f t="shared" ref="BP14:BP35" si="14">IF(BG14&gt;3,BG14+1,0)</f>
        <v>38</v>
      </c>
      <c r="BQ14" s="811" t="s">
        <v>333</v>
      </c>
      <c r="BR14" s="754" t="s">
        <v>342</v>
      </c>
      <c r="BS14" s="812">
        <v>10</v>
      </c>
      <c r="BT14" s="792" t="s">
        <v>360</v>
      </c>
      <c r="BU14" s="769">
        <v>2022</v>
      </c>
      <c r="BV14" s="769"/>
      <c r="BW14" s="770"/>
      <c r="BX14" s="771"/>
      <c r="BY14" s="762" t="e">
        <f t="shared" ref="BY14:BY35" si="15">IF(BG14&gt;3,(($BF$2-BV14)*12+($BF$3-BT14)-BN14),"- - -")</f>
        <v>#VALUE!</v>
      </c>
      <c r="BZ14" s="772" t="str">
        <f t="shared" ref="BZ14:BZ19" si="16">IF(AND(CV14="Hưu",BG14&gt;3),12-(12*(DB14-BV14)+(DA14-BT14))-BN14,"- - -")</f>
        <v>- - -</v>
      </c>
      <c r="CA14" s="773" t="str">
        <f t="shared" ref="CA14:CA35" si="17">IF(OR(S14="Ban Tổ chức - Cán bộ",S14="Văn phòng Học viện",S14="Phó Giám đốc Thường trực Học viện",S14="Phó Giám đốc Học viện"),"Chánh Văn phòng Học viện, Trưởng Ban Tổ chức - Cán bộ",IF(OR(S14="Trung tâm Ngoại ngữ",S14="Trung tâm Tin học hành chính và Công nghệ thông tin",S14="Trung tâm Tin học - Thư viện",S14="Phân viện khu vực Tây Nguyên"),"Chánh Văn phòng Học viện, Trưởng Ban Tổ chức - Cán bộ, "&amp;CONCATENATE("Giám đốc ",S14),IF(S14="Tạp chí Quản lý nhà nước","Chánh Văn phòng Học viện, Trưởng Ban Tổ chức - Cán bộ, "&amp;CONCATENATE("Tổng Biên tập ",S14),IF(S14="Văn phòng Đảng uỷ Học viện","Chánh Văn phòng Học viện, Trưởng Ban Tổ chức - Cán bộ, "&amp;CONCATENATE("Chánh",S14),IF(S14="Viện Nghiên cứu Khoa học hành chính","Chánh Văn phòng Học viện, Trưởng Ban Tổ chức - Cán bộ, "&amp;CONCATENATE("Viện Trưởng ",S14),IF(OR(S14="Cơ sở Học viện Hành chính Quốc gia khu vực miền Trung",S14="Cơ sở Học viện Hành chính Quốc gia tại Thành phố Hồ Chí Minh"),"Chánh Văn phòng Học viện, Trưởng Ban Tổ chức - Cán bộ, "&amp;CONCATENATE("Thủ trưởng ",S14),"Chánh Văn phòng Học viện, Trưởng Ban Tổ chức - Cán bộ, "&amp;CONCATENATE("Trưởng ",S14)))))))</f>
        <v>Chánh Văn phòng Học viện, Trưởng Ban Tổ chức - Cán bộ, Trưởng Khoa Quản lý nhà nước về Kinh tế và Tài chính công</v>
      </c>
      <c r="CB14" s="774" t="str">
        <f t="shared" ref="CB14:CB35" si="18">IF(S14="Cơ sở Học viện Hành chính khu vực miền Trung","B",IF(S14="Phân viện Khu vực Tây Nguyên","C",IF(S14="Cơ sở Học viện Hành chính tại thành phố Hồ Chí Minh","D","A")))</f>
        <v>A</v>
      </c>
      <c r="CC14" s="736" t="str">
        <f t="shared" ref="CC14:CC35" si="19">IF(AND(AO14&gt;0,AB14&lt;(AD14-1),CD14&gt;0,CD14&lt;13,OR(AND(CJ14="Cùg Ng",($CC$2-CF14)&gt;BB14),CJ14="- - -")),"Sớm TT","=&gt; s")</f>
        <v>=&gt; s</v>
      </c>
      <c r="CD14" s="720">
        <f t="shared" ref="CD14:CD35" si="20">IF(BB14=3,36-(12*($CC$2-AX14)+(12-AV14)-AM14),IF(BB14=2,24-(12*($CC$2-AX14)+(12-AV14)-AM14),"---"))</f>
        <v>24272</v>
      </c>
      <c r="CE14" s="720" t="str">
        <f t="shared" ref="CE14:CE35" si="21">IF(CF14&gt;1,"S","---")</f>
        <v>S</v>
      </c>
      <c r="CF14" s="775">
        <v>2017</v>
      </c>
      <c r="CG14" s="720" t="s">
        <v>428</v>
      </c>
      <c r="CH14" s="776"/>
      <c r="CI14" s="720"/>
      <c r="CJ14" s="777" t="str">
        <f t="shared" ref="CJ14:CJ35" si="22">IF(X14=CG14,"Cùg Ng","- - -")</f>
        <v>- - -</v>
      </c>
      <c r="CK14" s="778" t="str">
        <f t="shared" ref="CK14:CK35" si="23">IF(CM14&gt;2000,"NN","- - -")</f>
        <v>NN</v>
      </c>
      <c r="CL14" s="779">
        <v>5</v>
      </c>
      <c r="CM14" s="778">
        <v>2012</v>
      </c>
      <c r="CN14" s="780"/>
      <c r="CO14" s="777"/>
      <c r="CP14" s="778" t="str">
        <f t="shared" ref="CP14:CP35" si="24">IF(CR14&gt;2000,"CN","- - -")</f>
        <v>- - -</v>
      </c>
      <c r="CQ14" s="779"/>
      <c r="CR14" s="778"/>
      <c r="CS14" s="780"/>
      <c r="CT14" s="781"/>
      <c r="CU14" s="782" t="str">
        <f t="shared" ref="CU14:CU35" si="25">IF(AND(CV14="Hưu",AB14&lt;(AD14-1),DC14&gt;0,DC14&lt;18,OR(BG14&lt;4,AND(BG14&gt;3,OR(BZ14&lt;3,BZ14&gt;5)))),"Lg Sớm",IF(AND(CV14="Hưu",AB14&gt;(AD14-2),OR(BE14=0.33,BE14=0.34),OR(BG14&lt;4,AND(BG14&gt;3,OR(BZ14&lt;3,BZ14&gt;5)))),"Nâng Ngạch",IF(AND(CV14="Hưu",BB14=1,DC14&gt;2,DC14&lt;6,OR(BG14&lt;4,AND(BG14&gt;3,OR(BZ14&lt;3,BZ14&gt;5)))),"Nâng PcVK cùng QĐ",IF(AND(CV14="Hưu",BG14&gt;3,BZ14&gt;2,BZ14&lt;6,AB14&lt;(AD14-1),DC14&gt;17,OR(BB14&gt;1,AND(BB14=1,OR(DC14&lt;3,DC14&gt;5)))),"Nâng PcNG cùng QĐ",IF(AND(CV14="Hưu",AB14&lt;(AD14-1),DC14&gt;0,DC14&lt;18,BG14&gt;3,BZ14&gt;2,BZ14&lt;6),"Nâng Lg Sớm +(PcNG cùng QĐ)",IF(AND(CV14="Hưu",AB14&gt;(AD14-2),OR(BE14=0.33,BE14=0.34),BG14&gt;3,BZ14&gt;2,BZ14&lt;6),"Nâng Ngạch +(PcNG cùng QĐ)",IF(AND(CV14="Hưu",BB14=1,DC14&gt;2,DC14&lt;6,BG14&gt;3,BZ14&gt;2,BZ14&lt;6),"Nâng (PcVK +PcNG) cùng QĐ",("---"))))))))</f>
        <v>---</v>
      </c>
      <c r="CV14" s="783" t="str">
        <f t="shared" ref="CV14:CV35" si="26">IF(AND(DG14&gt;DF14,DG14&lt;(DF14+13)),"Hưu",IF(AND(DG14&gt;(DF14+12),DG14&lt;1000),"Quá","/-/ /-/"))</f>
        <v>/-/ /-/</v>
      </c>
      <c r="CW14" s="784">
        <f t="shared" ref="CW14:CW35" si="27">IF((I14+0)&lt;12,(I14+0)+1,IF((I14+0)=12,1,IF((I14+0)&gt;12,(I14+0)-12)))</f>
        <v>2</v>
      </c>
      <c r="CX14" s="783">
        <f t="shared" ref="CX14:CX35" si="28">IF(OR((I14+0)=12,(I14+0)&gt;12),K14+DF14/12+1,IF(AND((I14+0)&gt;0,(I14+0)&lt;12),K14+DF14/12,"---"))</f>
        <v>2019</v>
      </c>
      <c r="CY14" s="784">
        <f t="shared" ref="CY14:CY35" si="29">IF(AND(CW14&gt;3,CW14&lt;13),CW14-3,IF(CW14&lt;4,CW14-3+12))</f>
        <v>11</v>
      </c>
      <c r="CZ14" s="783">
        <f t="shared" ref="CZ14:CZ35" si="30">IF(CY14&lt;CW14,CX14,IF(CY14&gt;CW14,CX14-1))</f>
        <v>2018</v>
      </c>
      <c r="DA14" s="784">
        <f t="shared" ref="DA14:DA35" si="31">IF(CW14&gt;6,CW14-6,IF(CW14=6,12,IF(CW14&lt;6,CW14+6)))</f>
        <v>8</v>
      </c>
      <c r="DB14" s="785">
        <f t="shared" ref="DB14:DB35" si="32">IF(CW14&gt;6,CX14,IF(CW14&lt;7,CX14-1))</f>
        <v>2018</v>
      </c>
      <c r="DC14" s="786" t="str">
        <f t="shared" ref="DC14:DC35" si="33">IF(AND(CV14="Hưu",BB14=3),36+AM14-(12*(DB14-AX14)+(DA14-AV14)),IF(AND(CV14="Hưu",BB14=2),24+AM14-(12*(DB14-AX14)+(DA14-AV14)),IF(AND(CV14="Hưu",BB14=1),12+AM14-(12*(DB14-AX14)+(DA14-AV14)),"- - -")))</f>
        <v>- - -</v>
      </c>
      <c r="DD14" s="786" t="str">
        <f t="shared" ref="DD14:DD35" si="34">IF(DE14&gt;0,"K.Dài",". .")</f>
        <v>. .</v>
      </c>
      <c r="DE14" s="736"/>
      <c r="DF14" s="736">
        <f t="shared" ref="DF14:DF35" si="35">IF(F14="Nam",(60+DE14)*12,IF(F14="Nữ",(55+DE14)*12,))</f>
        <v>720</v>
      </c>
      <c r="DG14" s="736">
        <f t="shared" ref="DG14:DG35" si="36">12*($CV$4-K14)+(12-I14)</f>
        <v>-23497</v>
      </c>
      <c r="DH14" s="736">
        <f t="shared" ref="DH14:DH35" si="37">$DL$4-K14</f>
        <v>-1959</v>
      </c>
      <c r="DI14" s="736" t="str">
        <f t="shared" ref="DI14:DI35" si="38">IF(AND(DH14&lt;35,F14="Nam"),"Nam dưới 35",IF(AND(DH14&lt;30,F14="Nữ"),"Nữ dưới 30",IF(AND(DH14&gt;34,DH14&lt;46,F14="Nam"),"Nam từ 35 - 45",IF(AND(DH14&gt;29,DH14&lt;41,F14="Nữ"),"Nữ từ 30 - 40",IF(AND(DH14&gt;45,DH14&lt;56,F14="Nam"),"Nam trên 45 - 55",IF(AND(DH14&gt;40,DH14&lt;51,F14="Nữ"),"Nữ trên 40 - 50",IF(AND(DH14&gt;55,F14="Nam"),"Nam trên 55","Nữ trên 50")))))))</f>
        <v>Nam dưới 35</v>
      </c>
      <c r="DJ14" s="736"/>
      <c r="DK14" s="762"/>
      <c r="DL14" s="778" t="str">
        <f t="shared" ref="DL14:DL35" si="39">IF(DH14&lt;31,"Đến 30",IF(AND(DH14&gt;30,DH14&lt;46),"31 - 45",IF(AND(DH14&gt;45,DH14&lt;70),"Trên 45")))</f>
        <v>Đến 30</v>
      </c>
      <c r="DM14" s="787" t="str">
        <f t="shared" ref="DM14:DM35" si="40">IF(DN14&gt;0,"TD","--")</f>
        <v>--</v>
      </c>
      <c r="DN14" s="720"/>
      <c r="DO14" s="788"/>
      <c r="DP14" s="787"/>
      <c r="DQ14" s="780"/>
      <c r="DR14" s="789"/>
      <c r="DS14" s="790"/>
      <c r="DT14" s="791"/>
      <c r="DU14" s="792"/>
      <c r="DV14" s="793"/>
      <c r="DW14" s="753"/>
      <c r="DX14" s="755" t="s">
        <v>126</v>
      </c>
      <c r="DY14" s="755"/>
      <c r="DZ14" s="755" t="s">
        <v>342</v>
      </c>
      <c r="EA14" s="794" t="s">
        <v>360</v>
      </c>
      <c r="EB14" s="755" t="s">
        <v>344</v>
      </c>
      <c r="EC14" s="795" t="s">
        <v>360</v>
      </c>
      <c r="ED14" s="753">
        <v>2012</v>
      </c>
      <c r="EE14" s="755">
        <f>(DZ14+0)-(EG14+0)</f>
        <v>0</v>
      </c>
      <c r="EF14" s="755" t="str">
        <f>IF(EE14&gt;0,"Sửa","- - -")</f>
        <v>- - -</v>
      </c>
      <c r="EG14" s="755" t="s">
        <v>342</v>
      </c>
      <c r="EH14" s="794" t="s">
        <v>360</v>
      </c>
      <c r="EI14" s="720" t="s">
        <v>344</v>
      </c>
      <c r="EJ14" s="777" t="s">
        <v>360</v>
      </c>
      <c r="EK14" s="796">
        <v>2012</v>
      </c>
      <c r="EL14" s="792">
        <v>5.76</v>
      </c>
      <c r="EM14" s="797" t="str">
        <f t="shared" ref="EM14:EM35" si="41">IF(AND(BE14&gt;0.34,AO14=1,OR(BD14=6.2,BD14=5.75)),((BD14-EL14)-2*0.34),IF(AND(BE14&gt;0.33,AO14=1,OR(BD14=4.4,BD14=4)),((BD14-EL14)-2*0.33),"- - -"))</f>
        <v>- - -</v>
      </c>
      <c r="EN14" s="797" t="str">
        <f t="shared" ref="EN14:EN35" si="42">IF(CV14="Hưu",12*(DB14-AX14)+(DA14-AV14),"---")</f>
        <v>---</v>
      </c>
      <c r="EO14" s="797"/>
      <c r="EP14" s="797"/>
      <c r="EQ14" s="797"/>
      <c r="ER14" s="797"/>
      <c r="ES14" s="797"/>
      <c r="ET14" s="797"/>
      <c r="EU14" s="797"/>
      <c r="EV14" s="797"/>
      <c r="EW14" s="797"/>
      <c r="EX14" s="797"/>
      <c r="EY14" s="797"/>
      <c r="EZ14" s="797"/>
      <c r="FA14" s="797"/>
      <c r="FB14" s="797"/>
      <c r="FC14" s="797"/>
      <c r="FD14" s="797"/>
      <c r="FE14" s="797"/>
      <c r="FF14" s="797"/>
      <c r="FG14" s="797"/>
      <c r="FH14" s="797"/>
      <c r="FI14" s="797"/>
      <c r="FJ14" s="797"/>
      <c r="FK14" s="798"/>
      <c r="FL14" s="798"/>
      <c r="FM14" s="798"/>
      <c r="FN14" s="798"/>
      <c r="FO14" s="798"/>
    </row>
    <row r="15" spans="1:171" s="799" customFormat="1" ht="36" customHeight="1" x14ac:dyDescent="0.2">
      <c r="A15" s="720">
        <v>685</v>
      </c>
      <c r="B15" s="721">
        <v>2</v>
      </c>
      <c r="C15" s="720"/>
      <c r="D15" s="720" t="str">
        <f t="shared" si="0"/>
        <v>Ông</v>
      </c>
      <c r="E15" s="722" t="s">
        <v>77</v>
      </c>
      <c r="F15" s="720" t="s">
        <v>379</v>
      </c>
      <c r="G15" s="723" t="s">
        <v>350</v>
      </c>
      <c r="H15" s="724" t="s">
        <v>360</v>
      </c>
      <c r="I15" s="725" t="s">
        <v>347</v>
      </c>
      <c r="J15" s="724" t="s">
        <v>360</v>
      </c>
      <c r="K15" s="726" t="s">
        <v>14</v>
      </c>
      <c r="L15" s="727" t="s">
        <v>452</v>
      </c>
      <c r="M15" s="728" t="str">
        <f t="shared" si="1"/>
        <v>VC</v>
      </c>
      <c r="N15" s="729"/>
      <c r="O15" s="730" t="str">
        <f t="shared" si="2"/>
        <v>CVụ</v>
      </c>
      <c r="P15" s="731" t="s">
        <v>567</v>
      </c>
      <c r="Q15" s="732">
        <f>VLOOKUP(P15,'Du lieu lien quan'!$C$2:$H$115,2,0)</f>
        <v>0.8</v>
      </c>
      <c r="R15" s="801"/>
      <c r="S15" s="802" t="s">
        <v>557</v>
      </c>
      <c r="T15" s="733" t="str">
        <f>VLOOKUP(Y15,'Du lieu lien quan'!$C$2:$H$60,5,0)</f>
        <v>A3</v>
      </c>
      <c r="U15" s="734" t="str">
        <f>VLOOKUP(Y15,'Du lieu lien quan'!$C$2:$H$60,6,0)</f>
        <v>A3.1</v>
      </c>
      <c r="V15" s="803" t="s">
        <v>424</v>
      </c>
      <c r="W15" s="804" t="str">
        <f t="shared" si="3"/>
        <v>Giảng viên cao cấp (hạng I)</v>
      </c>
      <c r="X15" s="805" t="str">
        <f t="shared" si="4"/>
        <v>V.07.01.01</v>
      </c>
      <c r="Y15" s="735" t="s">
        <v>429</v>
      </c>
      <c r="Z15" s="735" t="str">
        <f>VLOOKUP(Y15,'Du lieu lien quan'!$C$1:$H$133,2,0)</f>
        <v>V.07.01.01</v>
      </c>
      <c r="AA15" s="736" t="str">
        <f t="shared" si="5"/>
        <v>Lương</v>
      </c>
      <c r="AB15" s="737">
        <v>3</v>
      </c>
      <c r="AC15" s="738" t="str">
        <f>IF(AD15&gt;0,"/")</f>
        <v>/</v>
      </c>
      <c r="AD15" s="739">
        <f>IF(OR(BE15=0.18,BE15=0.2),12,IF(BE15=0.31,10,IF(BE15=0.33,9,IF(BE15=0.34,8,IF(BE15=0.36,6)))))</f>
        <v>6</v>
      </c>
      <c r="AE15" s="740">
        <f t="shared" si="6"/>
        <v>6.92</v>
      </c>
      <c r="AF15" s="741"/>
      <c r="AG15" s="741"/>
      <c r="AH15" s="742" t="s">
        <v>342</v>
      </c>
      <c r="AI15" s="743" t="s">
        <v>360</v>
      </c>
      <c r="AJ15" s="744" t="s">
        <v>346</v>
      </c>
      <c r="AK15" s="743" t="s">
        <v>360</v>
      </c>
      <c r="AL15" s="745">
        <v>2017</v>
      </c>
      <c r="AM15" s="746"/>
      <c r="AN15" s="747"/>
      <c r="AO15" s="748">
        <f t="shared" si="7"/>
        <v>4</v>
      </c>
      <c r="AP15" s="749" t="str">
        <f t="shared" si="8"/>
        <v>/</v>
      </c>
      <c r="AQ15" s="750">
        <f t="shared" si="9"/>
        <v>6</v>
      </c>
      <c r="AR15" s="751">
        <f t="shared" si="10"/>
        <v>7.28</v>
      </c>
      <c r="AS15" s="752"/>
      <c r="AT15" s="753" t="s">
        <v>342</v>
      </c>
      <c r="AU15" s="754" t="s">
        <v>360</v>
      </c>
      <c r="AV15" s="755" t="s">
        <v>346</v>
      </c>
      <c r="AW15" s="754" t="s">
        <v>360</v>
      </c>
      <c r="AX15" s="756">
        <v>2020</v>
      </c>
      <c r="AY15" s="757"/>
      <c r="AZ15" s="758"/>
      <c r="BA15" s="759"/>
      <c r="BB15" s="760">
        <f t="shared" si="11"/>
        <v>3</v>
      </c>
      <c r="BC15" s="761">
        <f t="shared" si="12"/>
        <v>-24248</v>
      </c>
      <c r="BD15" s="761">
        <f>VLOOKUP(Y15,'Du lieu lien quan'!$C$1:$F$60,3,0)</f>
        <v>6.2</v>
      </c>
      <c r="BE15" s="762">
        <f>VLOOKUP(Y15,'Du lieu lien quan'!$C$1:$F$60,4,0)</f>
        <v>0.36</v>
      </c>
      <c r="BF15" s="763" t="e">
        <f t="shared" si="13"/>
        <v>#VALUE!</v>
      </c>
      <c r="BG15" s="878">
        <v>27</v>
      </c>
      <c r="BH15" s="764" t="s">
        <v>333</v>
      </c>
      <c r="BI15" s="765" t="s">
        <v>342</v>
      </c>
      <c r="BJ15" s="2272">
        <v>10</v>
      </c>
      <c r="BK15" s="807" t="s">
        <v>360</v>
      </c>
      <c r="BL15" s="2264">
        <v>2021</v>
      </c>
      <c r="BM15" s="808"/>
      <c r="BN15" s="809"/>
      <c r="BO15" s="767"/>
      <c r="BP15" s="810">
        <f t="shared" si="14"/>
        <v>28</v>
      </c>
      <c r="BQ15" s="811" t="s">
        <v>333</v>
      </c>
      <c r="BR15" s="754" t="s">
        <v>342</v>
      </c>
      <c r="BS15" s="812">
        <v>10</v>
      </c>
      <c r="BT15" s="792" t="s">
        <v>360</v>
      </c>
      <c r="BU15" s="769">
        <v>2022</v>
      </c>
      <c r="BV15" s="769"/>
      <c r="BW15" s="770"/>
      <c r="BX15" s="771"/>
      <c r="BY15" s="762" t="e">
        <f t="shared" si="15"/>
        <v>#VALUE!</v>
      </c>
      <c r="BZ15" s="772" t="str">
        <f t="shared" si="16"/>
        <v>- - -</v>
      </c>
      <c r="CA15" s="773" t="str">
        <f t="shared" si="17"/>
        <v>Chánh Văn phòng Học viện, Trưởng Ban Tổ chức - Cán bộ, Trưởng Phân viện Học viện Hành chính Quốc gia tại Thành phố Hồ Chí Minh</v>
      </c>
      <c r="CB15" s="774" t="str">
        <f t="shared" si="18"/>
        <v>A</v>
      </c>
      <c r="CC15" s="736" t="str">
        <f t="shared" si="19"/>
        <v>=&gt; s</v>
      </c>
      <c r="CD15" s="720">
        <f t="shared" si="20"/>
        <v>24272</v>
      </c>
      <c r="CE15" s="720" t="str">
        <f t="shared" si="21"/>
        <v>S</v>
      </c>
      <c r="CF15" s="775">
        <v>2017</v>
      </c>
      <c r="CG15" s="720" t="s">
        <v>428</v>
      </c>
      <c r="CH15" s="776"/>
      <c r="CI15" s="720"/>
      <c r="CJ15" s="777" t="str">
        <f t="shared" si="22"/>
        <v>- - -</v>
      </c>
      <c r="CK15" s="778" t="str">
        <f t="shared" si="23"/>
        <v>NN</v>
      </c>
      <c r="CL15" s="779">
        <v>5</v>
      </c>
      <c r="CM15" s="778">
        <v>2012</v>
      </c>
      <c r="CN15" s="780"/>
      <c r="CO15" s="777"/>
      <c r="CP15" s="778" t="str">
        <f t="shared" si="24"/>
        <v>- - -</v>
      </c>
      <c r="CQ15" s="779"/>
      <c r="CR15" s="778"/>
      <c r="CS15" s="780"/>
      <c r="CT15" s="781"/>
      <c r="CU15" s="782" t="str">
        <f t="shared" si="25"/>
        <v>---</v>
      </c>
      <c r="CV15" s="783" t="str">
        <f t="shared" si="26"/>
        <v>/-/ /-/</v>
      </c>
      <c r="CW15" s="784">
        <f t="shared" si="27"/>
        <v>4</v>
      </c>
      <c r="CX15" s="783">
        <f t="shared" si="28"/>
        <v>2023</v>
      </c>
      <c r="CY15" s="784">
        <f t="shared" si="29"/>
        <v>1</v>
      </c>
      <c r="CZ15" s="783">
        <f t="shared" si="30"/>
        <v>2023</v>
      </c>
      <c r="DA15" s="784">
        <f t="shared" si="31"/>
        <v>10</v>
      </c>
      <c r="DB15" s="785">
        <f t="shared" si="32"/>
        <v>2022</v>
      </c>
      <c r="DC15" s="786" t="str">
        <f t="shared" si="33"/>
        <v>- - -</v>
      </c>
      <c r="DD15" s="786" t="str">
        <f t="shared" si="34"/>
        <v>. .</v>
      </c>
      <c r="DE15" s="736"/>
      <c r="DF15" s="736">
        <f t="shared" si="35"/>
        <v>720</v>
      </c>
      <c r="DG15" s="736">
        <f t="shared" si="36"/>
        <v>-23547</v>
      </c>
      <c r="DH15" s="736">
        <f t="shared" si="37"/>
        <v>-1963</v>
      </c>
      <c r="DI15" s="736" t="str">
        <f t="shared" si="38"/>
        <v>Nam dưới 35</v>
      </c>
      <c r="DJ15" s="736"/>
      <c r="DK15" s="762"/>
      <c r="DL15" s="778" t="str">
        <f t="shared" si="39"/>
        <v>Đến 30</v>
      </c>
      <c r="DM15" s="787" t="str">
        <f t="shared" si="40"/>
        <v>--</v>
      </c>
      <c r="DN15" s="720"/>
      <c r="DO15" s="788"/>
      <c r="DP15" s="787"/>
      <c r="DQ15" s="780"/>
      <c r="DR15" s="789"/>
      <c r="DS15" s="790"/>
      <c r="DT15" s="791"/>
      <c r="DU15" s="792"/>
      <c r="DV15" s="793"/>
      <c r="DW15" s="753" t="s">
        <v>10</v>
      </c>
      <c r="DX15" s="755" t="s">
        <v>416</v>
      </c>
      <c r="DY15" s="755" t="s">
        <v>368</v>
      </c>
      <c r="DZ15" s="755" t="s">
        <v>342</v>
      </c>
      <c r="EA15" s="794" t="s">
        <v>360</v>
      </c>
      <c r="EB15" s="755" t="s">
        <v>344</v>
      </c>
      <c r="EC15" s="795" t="s">
        <v>360</v>
      </c>
      <c r="ED15" s="753">
        <v>2012</v>
      </c>
      <c r="EE15" s="755">
        <f>(DZ15+0)-(EG15+0)</f>
        <v>0</v>
      </c>
      <c r="EF15" s="755" t="str">
        <f>IF(EE15&gt;0,"Sửa","- - -")</f>
        <v>- - -</v>
      </c>
      <c r="EG15" s="755" t="s">
        <v>342</v>
      </c>
      <c r="EH15" s="794" t="s">
        <v>360</v>
      </c>
      <c r="EI15" s="720" t="s">
        <v>344</v>
      </c>
      <c r="EJ15" s="777" t="s">
        <v>360</v>
      </c>
      <c r="EK15" s="796">
        <v>2012</v>
      </c>
      <c r="EL15" s="792">
        <v>5.42</v>
      </c>
      <c r="EM15" s="797" t="str">
        <f t="shared" si="41"/>
        <v>- - -</v>
      </c>
      <c r="EN15" s="797" t="str">
        <f t="shared" si="42"/>
        <v>---</v>
      </c>
      <c r="EO15" s="797"/>
      <c r="EP15" s="797"/>
      <c r="EQ15" s="797"/>
      <c r="ER15" s="797"/>
      <c r="ES15" s="797"/>
      <c r="ET15" s="797"/>
      <c r="EU15" s="797"/>
      <c r="EV15" s="797"/>
      <c r="EW15" s="797"/>
      <c r="EX15" s="797"/>
      <c r="EY15" s="797"/>
      <c r="EZ15" s="797"/>
      <c r="FA15" s="797"/>
      <c r="FB15" s="797"/>
      <c r="FC15" s="797"/>
      <c r="FD15" s="797"/>
      <c r="FE15" s="797"/>
      <c r="FF15" s="797"/>
      <c r="FG15" s="797"/>
      <c r="FH15" s="797"/>
      <c r="FI15" s="797"/>
      <c r="FJ15" s="797"/>
      <c r="FK15" s="798"/>
      <c r="FL15" s="798"/>
      <c r="FM15" s="798"/>
      <c r="FN15" s="798"/>
      <c r="FO15" s="798"/>
    </row>
    <row r="16" spans="1:171" s="799" customFormat="1" ht="30.75" customHeight="1" x14ac:dyDescent="0.2">
      <c r="A16" s="720">
        <v>150</v>
      </c>
      <c r="B16" s="721">
        <v>3</v>
      </c>
      <c r="C16" s="720"/>
      <c r="D16" s="720" t="str">
        <f t="shared" si="0"/>
        <v>Bà</v>
      </c>
      <c r="E16" s="722" t="s">
        <v>34</v>
      </c>
      <c r="F16" s="720" t="s">
        <v>381</v>
      </c>
      <c r="G16" s="723" t="s">
        <v>401</v>
      </c>
      <c r="H16" s="724" t="s">
        <v>360</v>
      </c>
      <c r="I16" s="725" t="s">
        <v>347</v>
      </c>
      <c r="J16" s="724" t="s">
        <v>360</v>
      </c>
      <c r="K16" s="726" t="s">
        <v>334</v>
      </c>
      <c r="L16" s="727" t="s">
        <v>452</v>
      </c>
      <c r="M16" s="728" t="str">
        <f t="shared" si="1"/>
        <v>VC</v>
      </c>
      <c r="N16" s="729"/>
      <c r="O16" s="730" t="e">
        <f t="shared" si="2"/>
        <v>#N/A</v>
      </c>
      <c r="P16" s="731"/>
      <c r="Q16" s="732" t="e">
        <f>VLOOKUP(P16,'Du lieu lien quan'!$C$2:$H$115,2,0)</f>
        <v>#N/A</v>
      </c>
      <c r="R16" s="801" t="s">
        <v>30</v>
      </c>
      <c r="S16" s="802" t="s">
        <v>555</v>
      </c>
      <c r="T16" s="733" t="str">
        <f>VLOOKUP(Y16,'Du lieu lien quan'!$C$2:$H$60,5,0)</f>
        <v>A2</v>
      </c>
      <c r="U16" s="734" t="str">
        <f>VLOOKUP(Y16,'Du lieu lien quan'!$C$2:$H$60,6,0)</f>
        <v>A2.1</v>
      </c>
      <c r="V16" s="803" t="s">
        <v>424</v>
      </c>
      <c r="W16" s="804" t="str">
        <f t="shared" si="3"/>
        <v>Giảng viên chính (hạng II)</v>
      </c>
      <c r="X16" s="805" t="str">
        <f t="shared" si="4"/>
        <v>V.07.01.02</v>
      </c>
      <c r="Y16" s="735" t="s">
        <v>431</v>
      </c>
      <c r="Z16" s="735" t="str">
        <f>VLOOKUP(Y16,'Du lieu lien quan'!$C$1:$H$133,2,0)</f>
        <v>V.07.01.02</v>
      </c>
      <c r="AA16" s="736" t="str">
        <f t="shared" si="5"/>
        <v>Lương</v>
      </c>
      <c r="AB16" s="737">
        <v>0</v>
      </c>
      <c r="AC16" s="738" t="str">
        <f>IF(AD16&gt;0,"/")</f>
        <v>/</v>
      </c>
      <c r="AD16" s="739">
        <f>IF(OR(BE16=0.18,BE16=0.2),12,IF(BE16=0.31,10,IF(BE16=0.33,9,IF(BE16=0.34,8,IF(BE16=0.36,6)))))</f>
        <v>8</v>
      </c>
      <c r="AE16" s="740">
        <f t="shared" si="6"/>
        <v>4.0600000000000005</v>
      </c>
      <c r="AF16" s="741"/>
      <c r="AG16" s="741"/>
      <c r="AH16" s="742" t="s">
        <v>342</v>
      </c>
      <c r="AI16" s="743" t="s">
        <v>360</v>
      </c>
      <c r="AJ16" s="744" t="s">
        <v>288</v>
      </c>
      <c r="AK16" s="743" t="s">
        <v>360</v>
      </c>
      <c r="AL16" s="745">
        <v>2018</v>
      </c>
      <c r="AM16" s="746"/>
      <c r="AN16" s="747"/>
      <c r="AO16" s="748">
        <f t="shared" si="7"/>
        <v>1</v>
      </c>
      <c r="AP16" s="749" t="str">
        <f t="shared" si="8"/>
        <v>/</v>
      </c>
      <c r="AQ16" s="750">
        <f t="shared" si="9"/>
        <v>8</v>
      </c>
      <c r="AR16" s="751">
        <f t="shared" si="10"/>
        <v>4.4000000000000004</v>
      </c>
      <c r="AS16" s="752"/>
      <c r="AT16" s="753" t="s">
        <v>342</v>
      </c>
      <c r="AU16" s="754" t="s">
        <v>360</v>
      </c>
      <c r="AV16" s="755" t="s">
        <v>342</v>
      </c>
      <c r="AW16" s="754" t="s">
        <v>360</v>
      </c>
      <c r="AX16" s="756">
        <v>2021</v>
      </c>
      <c r="AY16" s="757"/>
      <c r="AZ16" s="758" t="s">
        <v>639</v>
      </c>
      <c r="BA16" s="759"/>
      <c r="BB16" s="760">
        <f t="shared" si="11"/>
        <v>3</v>
      </c>
      <c r="BC16" s="761">
        <f t="shared" si="12"/>
        <v>-24253</v>
      </c>
      <c r="BD16" s="761">
        <f>VLOOKUP(Y16,'Du lieu lien quan'!$C$1:$F$60,3,0)</f>
        <v>4.4000000000000004</v>
      </c>
      <c r="BE16" s="762">
        <f>VLOOKUP(Y16,'Du lieu lien quan'!$C$1:$F$60,4,0)</f>
        <v>0.34</v>
      </c>
      <c r="BF16" s="763" t="e">
        <f t="shared" si="13"/>
        <v>#VALUE!</v>
      </c>
      <c r="BG16" s="878">
        <v>15</v>
      </c>
      <c r="BH16" s="764" t="s">
        <v>333</v>
      </c>
      <c r="BI16" s="765" t="s">
        <v>342</v>
      </c>
      <c r="BJ16" s="2272">
        <v>10</v>
      </c>
      <c r="BK16" s="807" t="s">
        <v>360</v>
      </c>
      <c r="BL16" s="2264">
        <v>2021</v>
      </c>
      <c r="BM16" s="808"/>
      <c r="BN16" s="809"/>
      <c r="BO16" s="767"/>
      <c r="BP16" s="810">
        <f t="shared" si="14"/>
        <v>16</v>
      </c>
      <c r="BQ16" s="811" t="s">
        <v>333</v>
      </c>
      <c r="BR16" s="754" t="s">
        <v>342</v>
      </c>
      <c r="BS16" s="812">
        <v>10</v>
      </c>
      <c r="BT16" s="792" t="s">
        <v>360</v>
      </c>
      <c r="BU16" s="769">
        <v>2022</v>
      </c>
      <c r="BV16" s="769"/>
      <c r="BW16" s="770"/>
      <c r="BX16" s="771"/>
      <c r="BY16" s="762" t="e">
        <f t="shared" si="15"/>
        <v>#VALUE!</v>
      </c>
      <c r="BZ16" s="772" t="str">
        <f t="shared" si="16"/>
        <v>- - -</v>
      </c>
      <c r="CA16" s="773" t="str">
        <f t="shared" si="17"/>
        <v>Chánh Văn phòng Học viện, Trưởng Ban Tổ chức - Cán bộ, Trưởng Khoa Khoa học hành chính và Tổ chức nhân sự</v>
      </c>
      <c r="CB16" s="774" t="str">
        <f t="shared" si="18"/>
        <v>A</v>
      </c>
      <c r="CC16" s="736" t="str">
        <f t="shared" si="19"/>
        <v>=&gt; s</v>
      </c>
      <c r="CD16" s="720">
        <f t="shared" si="20"/>
        <v>24277</v>
      </c>
      <c r="CE16" s="720" t="str">
        <f t="shared" si="21"/>
        <v>S</v>
      </c>
      <c r="CF16" s="775">
        <v>2017</v>
      </c>
      <c r="CG16" s="720"/>
      <c r="CH16" s="776"/>
      <c r="CI16" s="720"/>
      <c r="CJ16" s="777" t="str">
        <f t="shared" si="22"/>
        <v>- - -</v>
      </c>
      <c r="CK16" s="778" t="str">
        <f t="shared" si="23"/>
        <v>- - -</v>
      </c>
      <c r="CL16" s="779"/>
      <c r="CM16" s="778"/>
      <c r="CN16" s="780"/>
      <c r="CO16" s="777"/>
      <c r="CP16" s="778" t="str">
        <f t="shared" si="24"/>
        <v>- - -</v>
      </c>
      <c r="CQ16" s="779"/>
      <c r="CR16" s="778"/>
      <c r="CS16" s="780"/>
      <c r="CT16" s="781"/>
      <c r="CU16" s="782" t="str">
        <f t="shared" si="25"/>
        <v>---</v>
      </c>
      <c r="CV16" s="783" t="str">
        <f t="shared" si="26"/>
        <v>/-/ /-/</v>
      </c>
      <c r="CW16" s="784">
        <f t="shared" si="27"/>
        <v>4</v>
      </c>
      <c r="CX16" s="783">
        <f t="shared" si="28"/>
        <v>2038</v>
      </c>
      <c r="CY16" s="784">
        <f t="shared" si="29"/>
        <v>1</v>
      </c>
      <c r="CZ16" s="783">
        <f t="shared" si="30"/>
        <v>2038</v>
      </c>
      <c r="DA16" s="784">
        <f t="shared" si="31"/>
        <v>10</v>
      </c>
      <c r="DB16" s="785">
        <f t="shared" si="32"/>
        <v>2037</v>
      </c>
      <c r="DC16" s="786" t="str">
        <f t="shared" si="33"/>
        <v>- - -</v>
      </c>
      <c r="DD16" s="786" t="str">
        <f t="shared" si="34"/>
        <v>. .</v>
      </c>
      <c r="DE16" s="736"/>
      <c r="DF16" s="736">
        <f t="shared" si="35"/>
        <v>660</v>
      </c>
      <c r="DG16" s="736">
        <f t="shared" si="36"/>
        <v>-23787</v>
      </c>
      <c r="DH16" s="736">
        <f t="shared" si="37"/>
        <v>-1983</v>
      </c>
      <c r="DI16" s="736" t="str">
        <f t="shared" si="38"/>
        <v>Nữ dưới 30</v>
      </c>
      <c r="DJ16" s="736"/>
      <c r="DK16" s="762"/>
      <c r="DL16" s="778" t="str">
        <f t="shared" si="39"/>
        <v>Đến 30</v>
      </c>
      <c r="DM16" s="787" t="str">
        <f t="shared" si="40"/>
        <v>TD</v>
      </c>
      <c r="DN16" s="720">
        <v>2012</v>
      </c>
      <c r="DO16" s="788"/>
      <c r="DP16" s="787"/>
      <c r="DQ16" s="780"/>
      <c r="DR16" s="789"/>
      <c r="DS16" s="790"/>
      <c r="DT16" s="791"/>
      <c r="DU16" s="792"/>
      <c r="DV16" s="793"/>
      <c r="DW16" s="753" t="s">
        <v>30</v>
      </c>
      <c r="DX16" s="755" t="s">
        <v>120</v>
      </c>
      <c r="DY16" s="755" t="s">
        <v>30</v>
      </c>
      <c r="DZ16" s="755" t="s">
        <v>342</v>
      </c>
      <c r="EA16" s="794" t="s">
        <v>360</v>
      </c>
      <c r="EB16" s="755" t="s">
        <v>372</v>
      </c>
      <c r="EC16" s="795" t="s">
        <v>360</v>
      </c>
      <c r="ED16" s="753">
        <v>2012</v>
      </c>
      <c r="EE16" s="755">
        <f>(DZ16+0)-(EG16+0)</f>
        <v>0</v>
      </c>
      <c r="EF16" s="755" t="str">
        <f>IF(EE16&gt;0,"Sửa","- - -")</f>
        <v>- - -</v>
      </c>
      <c r="EG16" s="755" t="s">
        <v>342</v>
      </c>
      <c r="EH16" s="794" t="s">
        <v>360</v>
      </c>
      <c r="EI16" s="720" t="s">
        <v>372</v>
      </c>
      <c r="EJ16" s="777" t="s">
        <v>360</v>
      </c>
      <c r="EK16" s="796">
        <v>2012</v>
      </c>
      <c r="EL16" s="792"/>
      <c r="EM16" s="797">
        <f t="shared" si="41"/>
        <v>3.74</v>
      </c>
      <c r="EN16" s="797" t="str">
        <f t="shared" si="42"/>
        <v>---</v>
      </c>
      <c r="EO16" s="797"/>
      <c r="EP16" s="797"/>
      <c r="EQ16" s="797"/>
      <c r="ER16" s="797"/>
      <c r="ES16" s="797"/>
      <c r="ET16" s="797"/>
      <c r="EU16" s="797"/>
      <c r="EV16" s="797"/>
      <c r="EW16" s="797"/>
      <c r="EX16" s="797"/>
      <c r="EY16" s="797"/>
      <c r="EZ16" s="797"/>
      <c r="FA16" s="797"/>
      <c r="FB16" s="797"/>
      <c r="FC16" s="797"/>
      <c r="FD16" s="797"/>
      <c r="FE16" s="797"/>
      <c r="FF16" s="797"/>
      <c r="FG16" s="797"/>
      <c r="FH16" s="797"/>
      <c r="FI16" s="797"/>
      <c r="FJ16" s="797"/>
      <c r="FK16" s="798"/>
      <c r="FL16" s="798"/>
      <c r="FM16" s="798"/>
      <c r="FN16" s="798"/>
      <c r="FO16" s="798"/>
    </row>
    <row r="17" spans="1:171" s="799" customFormat="1" ht="30.75" customHeight="1" x14ac:dyDescent="0.2">
      <c r="A17" s="720">
        <v>157</v>
      </c>
      <c r="B17" s="721">
        <v>4</v>
      </c>
      <c r="C17" s="720"/>
      <c r="D17" s="720" t="str">
        <f t="shared" si="0"/>
        <v>Bà</v>
      </c>
      <c r="E17" s="722" t="s">
        <v>32</v>
      </c>
      <c r="F17" s="720" t="s">
        <v>381</v>
      </c>
      <c r="G17" s="723" t="s">
        <v>342</v>
      </c>
      <c r="H17" s="724" t="s">
        <v>360</v>
      </c>
      <c r="I17" s="725" t="s">
        <v>349</v>
      </c>
      <c r="J17" s="724" t="s">
        <v>360</v>
      </c>
      <c r="K17" s="726" t="s">
        <v>0</v>
      </c>
      <c r="L17" s="727" t="s">
        <v>452</v>
      </c>
      <c r="M17" s="728" t="str">
        <f t="shared" si="1"/>
        <v>VC</v>
      </c>
      <c r="N17" s="729"/>
      <c r="O17" s="730" t="e">
        <f t="shared" si="2"/>
        <v>#N/A</v>
      </c>
      <c r="P17" s="731"/>
      <c r="Q17" s="732" t="e">
        <f>VLOOKUP(P17,'Du lieu lien quan'!$C$2:$H$115,2,0)</f>
        <v>#N/A</v>
      </c>
      <c r="R17" s="801" t="s">
        <v>367</v>
      </c>
      <c r="S17" s="802" t="s">
        <v>555</v>
      </c>
      <c r="T17" s="733" t="str">
        <f>VLOOKUP(Y17,'Du lieu lien quan'!$C$2:$H$60,5,0)</f>
        <v>A2</v>
      </c>
      <c r="U17" s="734" t="str">
        <f>VLOOKUP(Y17,'Du lieu lien quan'!$C$2:$H$60,6,0)</f>
        <v>A2.1</v>
      </c>
      <c r="V17" s="803" t="s">
        <v>424</v>
      </c>
      <c r="W17" s="804" t="str">
        <f t="shared" si="3"/>
        <v>Giảng viên chính (hạng II)</v>
      </c>
      <c r="X17" s="805" t="str">
        <f t="shared" si="4"/>
        <v>V.07.01.02</v>
      </c>
      <c r="Y17" s="735" t="s">
        <v>431</v>
      </c>
      <c r="Z17" s="735" t="str">
        <f>VLOOKUP(Y17,'Du lieu lien quan'!$C$1:$H$133,2,0)</f>
        <v>V.07.01.02</v>
      </c>
      <c r="AA17" s="736" t="str">
        <f t="shared" si="5"/>
        <v>Lương</v>
      </c>
      <c r="AB17" s="737">
        <v>1</v>
      </c>
      <c r="AC17" s="738" t="s">
        <v>360</v>
      </c>
      <c r="AD17" s="739">
        <v>8</v>
      </c>
      <c r="AE17" s="740">
        <f t="shared" si="6"/>
        <v>4.4000000000000004</v>
      </c>
      <c r="AF17" s="741"/>
      <c r="AG17" s="741"/>
      <c r="AH17" s="742" t="s">
        <v>342</v>
      </c>
      <c r="AI17" s="743" t="s">
        <v>360</v>
      </c>
      <c r="AJ17" s="744" t="s">
        <v>373</v>
      </c>
      <c r="AK17" s="743" t="s">
        <v>360</v>
      </c>
      <c r="AL17" s="745">
        <v>2018</v>
      </c>
      <c r="AM17" s="746"/>
      <c r="AN17" s="747"/>
      <c r="AO17" s="748">
        <f t="shared" si="7"/>
        <v>2</v>
      </c>
      <c r="AP17" s="749" t="str">
        <f t="shared" si="8"/>
        <v>/</v>
      </c>
      <c r="AQ17" s="750">
        <f t="shared" si="9"/>
        <v>8</v>
      </c>
      <c r="AR17" s="751">
        <f t="shared" si="10"/>
        <v>4.74</v>
      </c>
      <c r="AS17" s="752"/>
      <c r="AT17" s="753" t="s">
        <v>342</v>
      </c>
      <c r="AU17" s="754" t="s">
        <v>360</v>
      </c>
      <c r="AV17" s="755" t="s">
        <v>373</v>
      </c>
      <c r="AW17" s="754" t="s">
        <v>360</v>
      </c>
      <c r="AX17" s="756">
        <v>2021</v>
      </c>
      <c r="AY17" s="757"/>
      <c r="AZ17" s="758" t="s">
        <v>639</v>
      </c>
      <c r="BA17" s="759"/>
      <c r="BB17" s="760">
        <f t="shared" si="11"/>
        <v>3</v>
      </c>
      <c r="BC17" s="761">
        <f t="shared" si="12"/>
        <v>-24263</v>
      </c>
      <c r="BD17" s="761">
        <f>VLOOKUP(Y17,'Du lieu lien quan'!$C$1:$F$60,3,0)</f>
        <v>4.4000000000000004</v>
      </c>
      <c r="BE17" s="762">
        <f>VLOOKUP(Y17,'Du lieu lien quan'!$C$1:$F$60,4,0)</f>
        <v>0.34</v>
      </c>
      <c r="BF17" s="763" t="e">
        <f t="shared" si="13"/>
        <v>#VALUE!</v>
      </c>
      <c r="BG17" s="878">
        <v>21</v>
      </c>
      <c r="BH17" s="764" t="s">
        <v>333</v>
      </c>
      <c r="BI17" s="765" t="s">
        <v>342</v>
      </c>
      <c r="BJ17" s="2272">
        <v>10</v>
      </c>
      <c r="BK17" s="807" t="s">
        <v>360</v>
      </c>
      <c r="BL17" s="2264">
        <v>2021</v>
      </c>
      <c r="BM17" s="808"/>
      <c r="BN17" s="809"/>
      <c r="BO17" s="767"/>
      <c r="BP17" s="810">
        <f t="shared" si="14"/>
        <v>22</v>
      </c>
      <c r="BQ17" s="811" t="s">
        <v>333</v>
      </c>
      <c r="BR17" s="754" t="s">
        <v>342</v>
      </c>
      <c r="BS17" s="812">
        <v>10</v>
      </c>
      <c r="BT17" s="792" t="s">
        <v>360</v>
      </c>
      <c r="BU17" s="769">
        <v>2022</v>
      </c>
      <c r="BV17" s="769"/>
      <c r="BW17" s="770"/>
      <c r="BX17" s="771"/>
      <c r="BY17" s="762" t="e">
        <f t="shared" si="15"/>
        <v>#VALUE!</v>
      </c>
      <c r="BZ17" s="772" t="str">
        <f t="shared" si="16"/>
        <v>- - -</v>
      </c>
      <c r="CA17" s="773" t="str">
        <f t="shared" si="17"/>
        <v>Chánh Văn phòng Học viện, Trưởng Ban Tổ chức - Cán bộ, Trưởng Khoa Khoa học hành chính và Tổ chức nhân sự</v>
      </c>
      <c r="CB17" s="774" t="str">
        <f t="shared" si="18"/>
        <v>A</v>
      </c>
      <c r="CC17" s="736" t="str">
        <f t="shared" si="19"/>
        <v>=&gt; s</v>
      </c>
      <c r="CD17" s="720">
        <f t="shared" si="20"/>
        <v>24287</v>
      </c>
      <c r="CE17" s="720" t="str">
        <f t="shared" si="21"/>
        <v>---</v>
      </c>
      <c r="CF17" s="775"/>
      <c r="CG17" s="720"/>
      <c r="CH17" s="776"/>
      <c r="CI17" s="720"/>
      <c r="CJ17" s="777" t="str">
        <f t="shared" si="22"/>
        <v>- - -</v>
      </c>
      <c r="CK17" s="778" t="str">
        <f t="shared" si="23"/>
        <v>- - -</v>
      </c>
      <c r="CL17" s="779"/>
      <c r="CM17" s="778"/>
      <c r="CN17" s="780"/>
      <c r="CO17" s="777"/>
      <c r="CP17" s="778" t="str">
        <f t="shared" si="24"/>
        <v>- - -</v>
      </c>
      <c r="CQ17" s="779"/>
      <c r="CR17" s="778"/>
      <c r="CS17" s="780"/>
      <c r="CT17" s="781"/>
      <c r="CU17" s="782" t="str">
        <f t="shared" si="25"/>
        <v>---</v>
      </c>
      <c r="CV17" s="783" t="str">
        <f t="shared" si="26"/>
        <v>/-/ /-/</v>
      </c>
      <c r="CW17" s="784">
        <f t="shared" si="27"/>
        <v>10</v>
      </c>
      <c r="CX17" s="783">
        <f t="shared" si="28"/>
        <v>2031</v>
      </c>
      <c r="CY17" s="784">
        <f t="shared" si="29"/>
        <v>7</v>
      </c>
      <c r="CZ17" s="783">
        <f t="shared" si="30"/>
        <v>2031</v>
      </c>
      <c r="DA17" s="784">
        <f t="shared" si="31"/>
        <v>4</v>
      </c>
      <c r="DB17" s="785">
        <f t="shared" si="32"/>
        <v>2031</v>
      </c>
      <c r="DC17" s="786" t="str">
        <f t="shared" si="33"/>
        <v>- - -</v>
      </c>
      <c r="DD17" s="786" t="str">
        <f t="shared" si="34"/>
        <v>. .</v>
      </c>
      <c r="DE17" s="736"/>
      <c r="DF17" s="736">
        <f t="shared" si="35"/>
        <v>660</v>
      </c>
      <c r="DG17" s="736">
        <f t="shared" si="36"/>
        <v>-23709</v>
      </c>
      <c r="DH17" s="736">
        <f t="shared" si="37"/>
        <v>-1976</v>
      </c>
      <c r="DI17" s="736" t="str">
        <f t="shared" si="38"/>
        <v>Nữ dưới 30</v>
      </c>
      <c r="DJ17" s="736"/>
      <c r="DK17" s="762"/>
      <c r="DL17" s="778" t="str">
        <f t="shared" si="39"/>
        <v>Đến 30</v>
      </c>
      <c r="DM17" s="787" t="str">
        <f t="shared" si="40"/>
        <v>--</v>
      </c>
      <c r="DN17" s="720"/>
      <c r="DO17" s="788"/>
      <c r="DP17" s="787"/>
      <c r="DQ17" s="780"/>
      <c r="DR17" s="789"/>
      <c r="DS17" s="790"/>
      <c r="DT17" s="791"/>
      <c r="DU17" s="792"/>
      <c r="DV17" s="793"/>
      <c r="DW17" s="753" t="s">
        <v>367</v>
      </c>
      <c r="DX17" s="755" t="s">
        <v>120</v>
      </c>
      <c r="DY17" s="755" t="s">
        <v>367</v>
      </c>
      <c r="DZ17" s="755" t="s">
        <v>342</v>
      </c>
      <c r="EA17" s="794" t="s">
        <v>360</v>
      </c>
      <c r="EB17" s="755" t="s">
        <v>373</v>
      </c>
      <c r="EC17" s="795" t="s">
        <v>360</v>
      </c>
      <c r="ED17" s="753">
        <v>2012</v>
      </c>
      <c r="EE17" s="755">
        <f>(DZ17+0)-(EG17+0)</f>
        <v>0</v>
      </c>
      <c r="EF17" s="755" t="str">
        <f>IF(EE17&gt;0,"Sửa","- - -")</f>
        <v>- - -</v>
      </c>
      <c r="EG17" s="755" t="s">
        <v>342</v>
      </c>
      <c r="EH17" s="794" t="s">
        <v>360</v>
      </c>
      <c r="EI17" s="720" t="s">
        <v>373</v>
      </c>
      <c r="EJ17" s="777" t="s">
        <v>360</v>
      </c>
      <c r="EK17" s="796">
        <v>2012</v>
      </c>
      <c r="EL17" s="792"/>
      <c r="EM17" s="797" t="str">
        <f t="shared" si="41"/>
        <v>- - -</v>
      </c>
      <c r="EN17" s="797" t="str">
        <f t="shared" si="42"/>
        <v>---</v>
      </c>
      <c r="EO17" s="797"/>
      <c r="EP17" s="797"/>
      <c r="EQ17" s="797"/>
      <c r="ER17" s="797"/>
      <c r="ES17" s="797"/>
      <c r="ET17" s="797"/>
      <c r="EU17" s="797"/>
      <c r="EV17" s="797"/>
      <c r="EW17" s="797"/>
      <c r="EX17" s="797"/>
      <c r="EY17" s="797"/>
      <c r="EZ17" s="797"/>
      <c r="FA17" s="797"/>
      <c r="FB17" s="797"/>
      <c r="FC17" s="797"/>
      <c r="FD17" s="797"/>
      <c r="FE17" s="797"/>
      <c r="FF17" s="797"/>
      <c r="FG17" s="797"/>
      <c r="FH17" s="797"/>
      <c r="FI17" s="797"/>
      <c r="FJ17" s="797"/>
      <c r="FK17" s="798"/>
      <c r="FL17" s="798"/>
      <c r="FM17" s="798"/>
      <c r="FN17" s="798"/>
      <c r="FO17" s="798"/>
    </row>
    <row r="18" spans="1:171" s="799" customFormat="1" ht="30.75" customHeight="1" x14ac:dyDescent="0.2">
      <c r="A18" s="720">
        <v>191</v>
      </c>
      <c r="B18" s="721">
        <v>5</v>
      </c>
      <c r="C18" s="720" t="s">
        <v>388</v>
      </c>
      <c r="D18" s="720" t="str">
        <f t="shared" si="0"/>
        <v>Bà</v>
      </c>
      <c r="E18" s="722" t="s">
        <v>473</v>
      </c>
      <c r="F18" s="720" t="s">
        <v>381</v>
      </c>
      <c r="G18" s="723" t="s">
        <v>281</v>
      </c>
      <c r="H18" s="724" t="s">
        <v>360</v>
      </c>
      <c r="I18" s="725" t="s">
        <v>345</v>
      </c>
      <c r="J18" s="724" t="s">
        <v>360</v>
      </c>
      <c r="K18" s="726">
        <v>1965</v>
      </c>
      <c r="L18" s="727" t="s">
        <v>452</v>
      </c>
      <c r="M18" s="728" t="str">
        <f t="shared" si="1"/>
        <v>VC</v>
      </c>
      <c r="N18" s="729"/>
      <c r="O18" s="730" t="str">
        <f t="shared" si="2"/>
        <v>CVụ</v>
      </c>
      <c r="P18" s="731" t="s">
        <v>465</v>
      </c>
      <c r="Q18" s="732">
        <f>VLOOKUP(P18,'Du lieu lien quan'!$C$2:$H$115,2,0)</f>
        <v>0.6</v>
      </c>
      <c r="R18" s="801" t="s">
        <v>141</v>
      </c>
      <c r="S18" s="802" t="s">
        <v>553</v>
      </c>
      <c r="T18" s="733" t="str">
        <f>VLOOKUP(Y18,'Du lieu lien quan'!$C$2:$H$60,5,0)</f>
        <v>A2</v>
      </c>
      <c r="U18" s="734" t="str">
        <f>VLOOKUP(Y18,'Du lieu lien quan'!$C$2:$H$60,6,0)</f>
        <v>A2.1</v>
      </c>
      <c r="V18" s="803" t="s">
        <v>595</v>
      </c>
      <c r="W18" s="804" t="str">
        <f t="shared" si="3"/>
        <v>Giảng viên chính (hạng II)</v>
      </c>
      <c r="X18" s="805" t="str">
        <f t="shared" si="4"/>
        <v>V.07.01.02</v>
      </c>
      <c r="Y18" s="735" t="s">
        <v>431</v>
      </c>
      <c r="Z18" s="735" t="str">
        <f>VLOOKUP(Y18,'Du lieu lien quan'!$C$1:$H$133,2,0)</f>
        <v>V.07.01.02</v>
      </c>
      <c r="AA18" s="736" t="str">
        <f t="shared" si="5"/>
        <v>Lương</v>
      </c>
      <c r="AB18" s="737">
        <v>6</v>
      </c>
      <c r="AC18" s="738" t="str">
        <f t="shared" ref="AC18:AC24" si="43">IF(AD18&gt;0,"/")</f>
        <v>/</v>
      </c>
      <c r="AD18" s="739">
        <f t="shared" ref="AD18:AD24" si="44">IF(OR(BE18=0.18,BE18=0.2),12,IF(BE18=0.31,10,IF(BE18=0.33,9,IF(BE18=0.34,8,IF(BE18=0.36,6)))))</f>
        <v>8</v>
      </c>
      <c r="AE18" s="740">
        <f t="shared" si="6"/>
        <v>6.1000000000000005</v>
      </c>
      <c r="AF18" s="741"/>
      <c r="AG18" s="741"/>
      <c r="AH18" s="742" t="s">
        <v>342</v>
      </c>
      <c r="AI18" s="743" t="s">
        <v>360</v>
      </c>
      <c r="AJ18" s="744" t="s">
        <v>342</v>
      </c>
      <c r="AK18" s="743" t="s">
        <v>360</v>
      </c>
      <c r="AL18" s="745">
        <v>2017</v>
      </c>
      <c r="AM18" s="746"/>
      <c r="AN18" s="747"/>
      <c r="AO18" s="748">
        <f t="shared" si="7"/>
        <v>7</v>
      </c>
      <c r="AP18" s="749" t="str">
        <f t="shared" si="8"/>
        <v>/</v>
      </c>
      <c r="AQ18" s="750">
        <f t="shared" si="9"/>
        <v>8</v>
      </c>
      <c r="AR18" s="751">
        <f t="shared" si="10"/>
        <v>6.44</v>
      </c>
      <c r="AS18" s="752"/>
      <c r="AT18" s="753" t="s">
        <v>342</v>
      </c>
      <c r="AU18" s="754" t="s">
        <v>360</v>
      </c>
      <c r="AV18" s="755" t="s">
        <v>342</v>
      </c>
      <c r="AW18" s="754" t="s">
        <v>360</v>
      </c>
      <c r="AX18" s="756">
        <v>2020</v>
      </c>
      <c r="AY18" s="757"/>
      <c r="AZ18" s="758"/>
      <c r="BA18" s="759"/>
      <c r="BB18" s="760">
        <f t="shared" si="11"/>
        <v>3</v>
      </c>
      <c r="BC18" s="761">
        <f t="shared" si="12"/>
        <v>-24241</v>
      </c>
      <c r="BD18" s="761">
        <f>VLOOKUP(Y18,'Du lieu lien quan'!$C$1:$F$60,3,0)</f>
        <v>4.4000000000000004</v>
      </c>
      <c r="BE18" s="762">
        <f>VLOOKUP(Y18,'Du lieu lien quan'!$C$1:$F$60,4,0)</f>
        <v>0.34</v>
      </c>
      <c r="BF18" s="763" t="e">
        <f t="shared" si="13"/>
        <v>#VALUE!</v>
      </c>
      <c r="BG18" s="878">
        <v>30</v>
      </c>
      <c r="BH18" s="764" t="s">
        <v>333</v>
      </c>
      <c r="BI18" s="765" t="s">
        <v>342</v>
      </c>
      <c r="BJ18" s="2272">
        <v>10</v>
      </c>
      <c r="BK18" s="807" t="s">
        <v>360</v>
      </c>
      <c r="BL18" s="2264">
        <v>2021</v>
      </c>
      <c r="BM18" s="808"/>
      <c r="BN18" s="809"/>
      <c r="BO18" s="767"/>
      <c r="BP18" s="810">
        <f t="shared" si="14"/>
        <v>31</v>
      </c>
      <c r="BQ18" s="811" t="s">
        <v>333</v>
      </c>
      <c r="BR18" s="754" t="s">
        <v>342</v>
      </c>
      <c r="BS18" s="812">
        <v>10</v>
      </c>
      <c r="BT18" s="792" t="s">
        <v>360</v>
      </c>
      <c r="BU18" s="769">
        <v>2022</v>
      </c>
      <c r="BV18" s="769"/>
      <c r="BW18" s="770"/>
      <c r="BX18" s="771"/>
      <c r="BY18" s="762" t="e">
        <f t="shared" si="15"/>
        <v>#VALUE!</v>
      </c>
      <c r="BZ18" s="772" t="str">
        <f t="shared" si="16"/>
        <v>- - -</v>
      </c>
      <c r="CA18" s="773" t="str">
        <f t="shared" si="17"/>
        <v>Chánh Văn phòng Học viện, Trưởng Ban Tổ chức - Cán bộ, Trưởng Khoa Nhà nước - Pháp luật và Lý luận cơ sở</v>
      </c>
      <c r="CB18" s="774" t="str">
        <f t="shared" si="18"/>
        <v>A</v>
      </c>
      <c r="CC18" s="736" t="str">
        <f t="shared" si="19"/>
        <v>=&gt; s</v>
      </c>
      <c r="CD18" s="720">
        <f t="shared" si="20"/>
        <v>24265</v>
      </c>
      <c r="CE18" s="720" t="str">
        <f t="shared" si="21"/>
        <v>---</v>
      </c>
      <c r="CF18" s="775"/>
      <c r="CG18" s="720"/>
      <c r="CH18" s="776"/>
      <c r="CI18" s="720"/>
      <c r="CJ18" s="777" t="str">
        <f t="shared" si="22"/>
        <v>- - -</v>
      </c>
      <c r="CK18" s="778" t="str">
        <f t="shared" si="23"/>
        <v>- - -</v>
      </c>
      <c r="CL18" s="779"/>
      <c r="CM18" s="778"/>
      <c r="CN18" s="780"/>
      <c r="CO18" s="777"/>
      <c r="CP18" s="778" t="str">
        <f t="shared" si="24"/>
        <v>- - -</v>
      </c>
      <c r="CQ18" s="779"/>
      <c r="CR18" s="778"/>
      <c r="CS18" s="780"/>
      <c r="CT18" s="781"/>
      <c r="CU18" s="782" t="str">
        <f t="shared" si="25"/>
        <v>---</v>
      </c>
      <c r="CV18" s="783" t="str">
        <f t="shared" si="26"/>
        <v>/-/ /-/</v>
      </c>
      <c r="CW18" s="784">
        <f t="shared" si="27"/>
        <v>7</v>
      </c>
      <c r="CX18" s="783">
        <f t="shared" si="28"/>
        <v>2020</v>
      </c>
      <c r="CY18" s="784">
        <f t="shared" si="29"/>
        <v>4</v>
      </c>
      <c r="CZ18" s="783">
        <f t="shared" si="30"/>
        <v>2020</v>
      </c>
      <c r="DA18" s="784">
        <f t="shared" si="31"/>
        <v>1</v>
      </c>
      <c r="DB18" s="785">
        <f t="shared" si="32"/>
        <v>2020</v>
      </c>
      <c r="DC18" s="786" t="str">
        <f t="shared" si="33"/>
        <v>- - -</v>
      </c>
      <c r="DD18" s="786" t="str">
        <f t="shared" si="34"/>
        <v>. .</v>
      </c>
      <c r="DE18" s="736"/>
      <c r="DF18" s="736">
        <f t="shared" si="35"/>
        <v>660</v>
      </c>
      <c r="DG18" s="736">
        <f t="shared" si="36"/>
        <v>-23574</v>
      </c>
      <c r="DH18" s="736">
        <f t="shared" si="37"/>
        <v>-1965</v>
      </c>
      <c r="DI18" s="736" t="str">
        <f t="shared" si="38"/>
        <v>Nữ dưới 30</v>
      </c>
      <c r="DJ18" s="736"/>
      <c r="DK18" s="762"/>
      <c r="DL18" s="778" t="str">
        <f t="shared" si="39"/>
        <v>Đến 30</v>
      </c>
      <c r="DM18" s="787" t="str">
        <f t="shared" si="40"/>
        <v>--</v>
      </c>
      <c r="DN18" s="720"/>
      <c r="DO18" s="788"/>
      <c r="DP18" s="787"/>
      <c r="DQ18" s="780"/>
      <c r="DR18" s="789"/>
      <c r="DS18" s="790"/>
      <c r="DT18" s="791"/>
      <c r="DU18" s="792"/>
      <c r="DV18" s="793"/>
      <c r="DW18" s="753" t="s">
        <v>140</v>
      </c>
      <c r="DX18" s="755" t="s">
        <v>121</v>
      </c>
      <c r="DY18" s="755"/>
      <c r="DZ18" s="755"/>
      <c r="EA18" s="794"/>
      <c r="EB18" s="755"/>
      <c r="EC18" s="795"/>
      <c r="ED18" s="753"/>
      <c r="EE18" s="755"/>
      <c r="EF18" s="755"/>
      <c r="EG18" s="755"/>
      <c r="EH18" s="794"/>
      <c r="EI18" s="720"/>
      <c r="EJ18" s="777"/>
      <c r="EK18" s="796"/>
      <c r="EL18" s="792"/>
      <c r="EM18" s="797" t="str">
        <f t="shared" si="41"/>
        <v>- - -</v>
      </c>
      <c r="EN18" s="797" t="str">
        <f t="shared" si="42"/>
        <v>---</v>
      </c>
      <c r="EO18" s="797"/>
      <c r="EP18" s="797"/>
      <c r="EQ18" s="797"/>
      <c r="ER18" s="797"/>
      <c r="ES18" s="797"/>
      <c r="ET18" s="797"/>
      <c r="EU18" s="797"/>
      <c r="EV18" s="797"/>
      <c r="EW18" s="797"/>
      <c r="EX18" s="797"/>
      <c r="EY18" s="797"/>
      <c r="EZ18" s="797"/>
      <c r="FA18" s="797"/>
      <c r="FB18" s="797"/>
      <c r="FC18" s="797"/>
      <c r="FD18" s="797"/>
      <c r="FE18" s="797"/>
      <c r="FF18" s="797"/>
      <c r="FG18" s="797"/>
      <c r="FH18" s="797"/>
      <c r="FI18" s="797"/>
      <c r="FJ18" s="797"/>
      <c r="FK18" s="798"/>
      <c r="FL18" s="798"/>
      <c r="FM18" s="798"/>
      <c r="FN18" s="798"/>
      <c r="FO18" s="798"/>
    </row>
    <row r="19" spans="1:171" s="799" customFormat="1" ht="30.75" customHeight="1" x14ac:dyDescent="0.2">
      <c r="A19" s="720">
        <v>221</v>
      </c>
      <c r="B19" s="721">
        <v>6</v>
      </c>
      <c r="C19" s="720"/>
      <c r="D19" s="720" t="str">
        <f t="shared" si="0"/>
        <v>Bà</v>
      </c>
      <c r="E19" s="722" t="s">
        <v>38</v>
      </c>
      <c r="F19" s="720" t="s">
        <v>381</v>
      </c>
      <c r="G19" s="723" t="s">
        <v>374</v>
      </c>
      <c r="H19" s="724" t="s">
        <v>360</v>
      </c>
      <c r="I19" s="725">
        <v>4</v>
      </c>
      <c r="J19" s="724" t="s">
        <v>360</v>
      </c>
      <c r="K19" s="726">
        <v>1972</v>
      </c>
      <c r="L19" s="727" t="s">
        <v>452</v>
      </c>
      <c r="M19" s="728" t="str">
        <f t="shared" si="1"/>
        <v>VC</v>
      </c>
      <c r="N19" s="729"/>
      <c r="O19" s="730" t="e">
        <f t="shared" si="2"/>
        <v>#N/A</v>
      </c>
      <c r="P19" s="731"/>
      <c r="Q19" s="732" t="e">
        <f>VLOOKUP(P19,'Du lieu lien quan'!$C$2:$H$115,2,0)</f>
        <v>#N/A</v>
      </c>
      <c r="R19" s="801" t="s">
        <v>35</v>
      </c>
      <c r="S19" s="802" t="s">
        <v>553</v>
      </c>
      <c r="T19" s="733" t="str">
        <f>VLOOKUP(Y19,'Du lieu lien quan'!$C$2:$H$60,5,0)</f>
        <v>A1</v>
      </c>
      <c r="U19" s="734" t="str">
        <f>VLOOKUP(Y19,'Du lieu lien quan'!$C$2:$H$60,6,0)</f>
        <v>- - -</v>
      </c>
      <c r="V19" s="803" t="s">
        <v>424</v>
      </c>
      <c r="W19" s="804" t="str">
        <f t="shared" si="3"/>
        <v>Giảng viên (hạng III)</v>
      </c>
      <c r="X19" s="805" t="str">
        <f t="shared" si="4"/>
        <v>V.07.01.03</v>
      </c>
      <c r="Y19" s="735" t="s">
        <v>430</v>
      </c>
      <c r="Z19" s="735" t="str">
        <f>VLOOKUP(Y19,'Du lieu lien quan'!$C$1:$H$133,2,0)</f>
        <v>V.07.01.03</v>
      </c>
      <c r="AA19" s="736" t="str">
        <f t="shared" si="5"/>
        <v>Lương</v>
      </c>
      <c r="AB19" s="737">
        <v>5</v>
      </c>
      <c r="AC19" s="738" t="str">
        <f t="shared" si="43"/>
        <v>/</v>
      </c>
      <c r="AD19" s="739">
        <f t="shared" si="44"/>
        <v>9</v>
      </c>
      <c r="AE19" s="740">
        <f t="shared" si="6"/>
        <v>3.66</v>
      </c>
      <c r="AF19" s="741"/>
      <c r="AG19" s="741"/>
      <c r="AH19" s="742" t="s">
        <v>342</v>
      </c>
      <c r="AI19" s="743" t="s">
        <v>360</v>
      </c>
      <c r="AJ19" s="744">
        <v>12</v>
      </c>
      <c r="AK19" s="743" t="s">
        <v>360</v>
      </c>
      <c r="AL19" s="745">
        <v>2016</v>
      </c>
      <c r="AM19" s="746"/>
      <c r="AN19" s="747"/>
      <c r="AO19" s="748">
        <f t="shared" si="7"/>
        <v>6</v>
      </c>
      <c r="AP19" s="749" t="str">
        <f t="shared" si="8"/>
        <v>/</v>
      </c>
      <c r="AQ19" s="750">
        <f t="shared" si="9"/>
        <v>9</v>
      </c>
      <c r="AR19" s="751">
        <f t="shared" si="10"/>
        <v>3.99</v>
      </c>
      <c r="AS19" s="752"/>
      <c r="AT19" s="753" t="s">
        <v>342</v>
      </c>
      <c r="AU19" s="754" t="s">
        <v>360</v>
      </c>
      <c r="AV19" s="755">
        <v>12</v>
      </c>
      <c r="AW19" s="754" t="s">
        <v>360</v>
      </c>
      <c r="AX19" s="756">
        <v>2019</v>
      </c>
      <c r="AY19" s="757"/>
      <c r="AZ19" s="758"/>
      <c r="BA19" s="759"/>
      <c r="BB19" s="760">
        <f t="shared" si="11"/>
        <v>3</v>
      </c>
      <c r="BC19" s="761">
        <f t="shared" si="12"/>
        <v>-24240</v>
      </c>
      <c r="BD19" s="761">
        <f>VLOOKUP(Y19,'Du lieu lien quan'!$C$1:$F$60,3,0)</f>
        <v>2.34</v>
      </c>
      <c r="BE19" s="762">
        <f>VLOOKUP(Y19,'Du lieu lien quan'!$C$1:$F$60,4,0)</f>
        <v>0.33</v>
      </c>
      <c r="BF19" s="763" t="e">
        <f t="shared" si="13"/>
        <v>#VALUE!</v>
      </c>
      <c r="BG19" s="878">
        <v>15</v>
      </c>
      <c r="BH19" s="764" t="s">
        <v>333</v>
      </c>
      <c r="BI19" s="765" t="s">
        <v>342</v>
      </c>
      <c r="BJ19" s="2272">
        <v>10</v>
      </c>
      <c r="BK19" s="807" t="s">
        <v>360</v>
      </c>
      <c r="BL19" s="2264">
        <v>2021</v>
      </c>
      <c r="BM19" s="808"/>
      <c r="BN19" s="809"/>
      <c r="BO19" s="767"/>
      <c r="BP19" s="810">
        <f t="shared" si="14"/>
        <v>16</v>
      </c>
      <c r="BQ19" s="811" t="s">
        <v>333</v>
      </c>
      <c r="BR19" s="754" t="s">
        <v>342</v>
      </c>
      <c r="BS19" s="812">
        <v>10</v>
      </c>
      <c r="BT19" s="792" t="s">
        <v>360</v>
      </c>
      <c r="BU19" s="769">
        <v>2022</v>
      </c>
      <c r="BV19" s="769"/>
      <c r="BW19" s="770"/>
      <c r="BX19" s="771"/>
      <c r="BY19" s="762" t="e">
        <f t="shared" si="15"/>
        <v>#VALUE!</v>
      </c>
      <c r="BZ19" s="772" t="str">
        <f t="shared" si="16"/>
        <v>- - -</v>
      </c>
      <c r="CA19" s="773" t="str">
        <f t="shared" si="17"/>
        <v>Chánh Văn phòng Học viện, Trưởng Ban Tổ chức - Cán bộ, Trưởng Khoa Nhà nước - Pháp luật và Lý luận cơ sở</v>
      </c>
      <c r="CB19" s="774" t="str">
        <f t="shared" si="18"/>
        <v>A</v>
      </c>
      <c r="CC19" s="736" t="str">
        <f t="shared" si="19"/>
        <v>=&gt; s</v>
      </c>
      <c r="CD19" s="720">
        <f t="shared" si="20"/>
        <v>24264</v>
      </c>
      <c r="CE19" s="720" t="str">
        <f t="shared" si="21"/>
        <v>S</v>
      </c>
      <c r="CF19" s="775">
        <v>2013</v>
      </c>
      <c r="CG19" s="720" t="s">
        <v>426</v>
      </c>
      <c r="CH19" s="776"/>
      <c r="CI19" s="720"/>
      <c r="CJ19" s="777" t="str">
        <f t="shared" si="22"/>
        <v>Cùg Ng</v>
      </c>
      <c r="CK19" s="778" t="str">
        <f t="shared" si="23"/>
        <v>- - -</v>
      </c>
      <c r="CL19" s="779"/>
      <c r="CM19" s="778"/>
      <c r="CN19" s="780"/>
      <c r="CO19" s="777"/>
      <c r="CP19" s="778" t="str">
        <f t="shared" si="24"/>
        <v>- - -</v>
      </c>
      <c r="CQ19" s="779"/>
      <c r="CR19" s="778"/>
      <c r="CS19" s="780"/>
      <c r="CT19" s="781"/>
      <c r="CU19" s="782" t="str">
        <f t="shared" si="25"/>
        <v>---</v>
      </c>
      <c r="CV19" s="783" t="str">
        <f t="shared" si="26"/>
        <v>/-/ /-/</v>
      </c>
      <c r="CW19" s="784">
        <f t="shared" si="27"/>
        <v>5</v>
      </c>
      <c r="CX19" s="783">
        <f t="shared" si="28"/>
        <v>2027</v>
      </c>
      <c r="CY19" s="784">
        <f t="shared" si="29"/>
        <v>2</v>
      </c>
      <c r="CZ19" s="783">
        <f t="shared" si="30"/>
        <v>2027</v>
      </c>
      <c r="DA19" s="784">
        <f t="shared" si="31"/>
        <v>11</v>
      </c>
      <c r="DB19" s="785">
        <f t="shared" si="32"/>
        <v>2026</v>
      </c>
      <c r="DC19" s="786" t="str">
        <f t="shared" si="33"/>
        <v>- - -</v>
      </c>
      <c r="DD19" s="786" t="str">
        <f t="shared" si="34"/>
        <v>. .</v>
      </c>
      <c r="DE19" s="736"/>
      <c r="DF19" s="736">
        <f t="shared" si="35"/>
        <v>660</v>
      </c>
      <c r="DG19" s="736">
        <f t="shared" si="36"/>
        <v>-23656</v>
      </c>
      <c r="DH19" s="736">
        <f t="shared" si="37"/>
        <v>-1972</v>
      </c>
      <c r="DI19" s="736" t="str">
        <f t="shared" si="38"/>
        <v>Nữ dưới 30</v>
      </c>
      <c r="DJ19" s="736"/>
      <c r="DK19" s="762"/>
      <c r="DL19" s="778" t="str">
        <f t="shared" si="39"/>
        <v>Đến 30</v>
      </c>
      <c r="DM19" s="787" t="str">
        <f t="shared" si="40"/>
        <v>TD</v>
      </c>
      <c r="DN19" s="720">
        <v>2008</v>
      </c>
      <c r="DO19" s="788"/>
      <c r="DP19" s="787"/>
      <c r="DQ19" s="780"/>
      <c r="DR19" s="789"/>
      <c r="DS19" s="790"/>
      <c r="DT19" s="791"/>
      <c r="DU19" s="792"/>
      <c r="DV19" s="793"/>
      <c r="DW19" s="753" t="s">
        <v>35</v>
      </c>
      <c r="DX19" s="755" t="s">
        <v>138</v>
      </c>
      <c r="DY19" s="755" t="s">
        <v>35</v>
      </c>
      <c r="DZ19" s="755" t="s">
        <v>342</v>
      </c>
      <c r="EA19" s="794" t="s">
        <v>360</v>
      </c>
      <c r="EB19" s="755">
        <v>12</v>
      </c>
      <c r="EC19" s="795" t="s">
        <v>360</v>
      </c>
      <c r="ED19" s="753">
        <v>2013</v>
      </c>
      <c r="EE19" s="755">
        <f>(DZ19+0)-(EG19+0)</f>
        <v>0</v>
      </c>
      <c r="EF19" s="755" t="str">
        <f>IF(EE19&gt;0,"Sửa","- - -")</f>
        <v>- - -</v>
      </c>
      <c r="EG19" s="755" t="s">
        <v>342</v>
      </c>
      <c r="EH19" s="794" t="s">
        <v>360</v>
      </c>
      <c r="EI19" s="720">
        <v>12</v>
      </c>
      <c r="EJ19" s="777" t="s">
        <v>360</v>
      </c>
      <c r="EK19" s="796">
        <v>2013</v>
      </c>
      <c r="EL19" s="792"/>
      <c r="EM19" s="797" t="str">
        <f t="shared" si="41"/>
        <v>- - -</v>
      </c>
      <c r="EN19" s="797" t="str">
        <f t="shared" si="42"/>
        <v>---</v>
      </c>
      <c r="EO19" s="797"/>
      <c r="EP19" s="797"/>
      <c r="EQ19" s="797"/>
      <c r="ER19" s="797"/>
      <c r="ES19" s="797"/>
      <c r="ET19" s="797"/>
      <c r="EU19" s="797"/>
      <c r="EV19" s="797"/>
      <c r="EW19" s="797"/>
      <c r="EX19" s="797"/>
      <c r="EY19" s="797"/>
      <c r="EZ19" s="797"/>
      <c r="FA19" s="797"/>
      <c r="FB19" s="797"/>
      <c r="FC19" s="797"/>
      <c r="FD19" s="797"/>
      <c r="FE19" s="797"/>
      <c r="FF19" s="797"/>
      <c r="FG19" s="797"/>
      <c r="FH19" s="797"/>
      <c r="FI19" s="797"/>
      <c r="FJ19" s="797"/>
      <c r="FK19" s="798"/>
      <c r="FL19" s="798"/>
      <c r="FM19" s="798"/>
      <c r="FN19" s="798"/>
      <c r="FO19" s="798"/>
    </row>
    <row r="20" spans="1:171" s="799" customFormat="1" ht="30.75" customHeight="1" x14ac:dyDescent="0.2">
      <c r="A20" s="720">
        <v>263</v>
      </c>
      <c r="B20" s="721">
        <v>7</v>
      </c>
      <c r="C20" s="720"/>
      <c r="D20" s="720" t="str">
        <f t="shared" si="0"/>
        <v>Bà</v>
      </c>
      <c r="E20" s="722" t="s">
        <v>51</v>
      </c>
      <c r="F20" s="720" t="s">
        <v>381</v>
      </c>
      <c r="G20" s="723" t="s">
        <v>282</v>
      </c>
      <c r="H20" s="724" t="s">
        <v>360</v>
      </c>
      <c r="I20" s="725" t="s">
        <v>348</v>
      </c>
      <c r="J20" s="724" t="s">
        <v>360</v>
      </c>
      <c r="K20" s="726">
        <v>1981</v>
      </c>
      <c r="L20" s="727" t="s">
        <v>452</v>
      </c>
      <c r="M20" s="728" t="str">
        <f t="shared" si="1"/>
        <v>VC</v>
      </c>
      <c r="N20" s="729"/>
      <c r="O20" s="730" t="e">
        <f t="shared" si="2"/>
        <v>#N/A</v>
      </c>
      <c r="P20" s="731"/>
      <c r="Q20" s="732" t="e">
        <f>VLOOKUP(P20,'Du lieu lien quan'!$C$2:$H$115,2,0)</f>
        <v>#N/A</v>
      </c>
      <c r="R20" s="801" t="s">
        <v>635</v>
      </c>
      <c r="S20" s="802" t="s">
        <v>556</v>
      </c>
      <c r="T20" s="733" t="str">
        <f>VLOOKUP(Y20,'Du lieu lien quan'!$C$2:$H$60,5,0)</f>
        <v>A1</v>
      </c>
      <c r="U20" s="734" t="str">
        <f>VLOOKUP(Y20,'Du lieu lien quan'!$C$2:$H$60,6,0)</f>
        <v>- - -</v>
      </c>
      <c r="V20" s="803" t="s">
        <v>424</v>
      </c>
      <c r="W20" s="804" t="str">
        <f t="shared" si="3"/>
        <v>Giảng viên (hạng III)</v>
      </c>
      <c r="X20" s="805" t="str">
        <f t="shared" si="4"/>
        <v>V.07.01.03</v>
      </c>
      <c r="Y20" s="735" t="s">
        <v>430</v>
      </c>
      <c r="Z20" s="735" t="str">
        <f>VLOOKUP(Y20,'Du lieu lien quan'!$C$1:$H$133,2,0)</f>
        <v>V.07.01.03</v>
      </c>
      <c r="AA20" s="736" t="str">
        <f t="shared" si="5"/>
        <v>Lương</v>
      </c>
      <c r="AB20" s="737">
        <v>5</v>
      </c>
      <c r="AC20" s="738" t="str">
        <f t="shared" si="43"/>
        <v>/</v>
      </c>
      <c r="AD20" s="739">
        <f t="shared" si="44"/>
        <v>9</v>
      </c>
      <c r="AE20" s="740">
        <f t="shared" si="6"/>
        <v>3.66</v>
      </c>
      <c r="AF20" s="741"/>
      <c r="AG20" s="741"/>
      <c r="AH20" s="742"/>
      <c r="AI20" s="743" t="s">
        <v>360</v>
      </c>
      <c r="AJ20" s="744"/>
      <c r="AK20" s="743" t="s">
        <v>360</v>
      </c>
      <c r="AL20" s="745">
        <v>2017</v>
      </c>
      <c r="AM20" s="746"/>
      <c r="AN20" s="747"/>
      <c r="AO20" s="748">
        <f t="shared" si="7"/>
        <v>6</v>
      </c>
      <c r="AP20" s="749" t="str">
        <f t="shared" si="8"/>
        <v>/</v>
      </c>
      <c r="AQ20" s="750">
        <f t="shared" si="9"/>
        <v>9</v>
      </c>
      <c r="AR20" s="751">
        <f t="shared" si="10"/>
        <v>3.99</v>
      </c>
      <c r="AS20" s="752"/>
      <c r="AT20" s="753" t="s">
        <v>342</v>
      </c>
      <c r="AU20" s="754" t="s">
        <v>360</v>
      </c>
      <c r="AV20" s="755" t="s">
        <v>350</v>
      </c>
      <c r="AW20" s="754" t="s">
        <v>360</v>
      </c>
      <c r="AX20" s="756">
        <v>2020</v>
      </c>
      <c r="AY20" s="757"/>
      <c r="AZ20" s="758" t="s">
        <v>612</v>
      </c>
      <c r="BA20" s="759"/>
      <c r="BB20" s="760">
        <f t="shared" si="11"/>
        <v>3</v>
      </c>
      <c r="BC20" s="761">
        <f t="shared" si="12"/>
        <v>-24252</v>
      </c>
      <c r="BD20" s="761">
        <f>VLOOKUP(Y20,'Du lieu lien quan'!$C$1:$F$60,3,0)</f>
        <v>2.34</v>
      </c>
      <c r="BE20" s="762">
        <f>VLOOKUP(Y20,'Du lieu lien quan'!$C$1:$F$60,4,0)</f>
        <v>0.33</v>
      </c>
      <c r="BF20" s="763" t="e">
        <f t="shared" si="13"/>
        <v>#VALUE!</v>
      </c>
      <c r="BG20" s="878">
        <v>16</v>
      </c>
      <c r="BH20" s="764" t="s">
        <v>333</v>
      </c>
      <c r="BI20" s="765" t="s">
        <v>342</v>
      </c>
      <c r="BJ20" s="2272">
        <v>10</v>
      </c>
      <c r="BK20" s="807" t="s">
        <v>360</v>
      </c>
      <c r="BL20" s="2264">
        <v>2021</v>
      </c>
      <c r="BM20" s="808"/>
      <c r="BN20" s="809"/>
      <c r="BO20" s="767"/>
      <c r="BP20" s="810">
        <f t="shared" si="14"/>
        <v>17</v>
      </c>
      <c r="BQ20" s="811" t="s">
        <v>333</v>
      </c>
      <c r="BR20" s="754" t="s">
        <v>342</v>
      </c>
      <c r="BS20" s="812">
        <v>10</v>
      </c>
      <c r="BT20" s="792" t="s">
        <v>360</v>
      </c>
      <c r="BU20" s="769">
        <v>2022</v>
      </c>
      <c r="BV20" s="769"/>
      <c r="BW20" s="770"/>
      <c r="BX20" s="771"/>
      <c r="BY20" s="762" t="e">
        <f t="shared" si="15"/>
        <v>#VALUE!</v>
      </c>
      <c r="BZ20" s="772" t="str">
        <f>IF(AND(CV20="Hưu",BG20&gt;3),12-(12*BY18(DB20-BV20)+(DA20-BT20))-BN20,"- - -")</f>
        <v>- - -</v>
      </c>
      <c r="CA20" s="773" t="str">
        <f t="shared" si="17"/>
        <v>Chánh Văn phòng Học viện, Trưởng Ban Tổ chức - Cán bộ, Trưởng Khoa Quản lý nhà nước về Kinh tế và Tài chính công</v>
      </c>
      <c r="CB20" s="774" t="str">
        <f t="shared" si="18"/>
        <v>A</v>
      </c>
      <c r="CC20" s="736" t="str">
        <f t="shared" si="19"/>
        <v>=&gt; s</v>
      </c>
      <c r="CD20" s="720">
        <f t="shared" si="20"/>
        <v>24276</v>
      </c>
      <c r="CE20" s="720" t="str">
        <f t="shared" si="21"/>
        <v>---</v>
      </c>
      <c r="CF20" s="775"/>
      <c r="CG20" s="720"/>
      <c r="CH20" s="776"/>
      <c r="CI20" s="720"/>
      <c r="CJ20" s="777" t="str">
        <f t="shared" si="22"/>
        <v>- - -</v>
      </c>
      <c r="CK20" s="778" t="str">
        <f t="shared" si="23"/>
        <v>- - -</v>
      </c>
      <c r="CL20" s="779"/>
      <c r="CM20" s="778"/>
      <c r="CN20" s="780"/>
      <c r="CO20" s="777"/>
      <c r="CP20" s="778" t="str">
        <f t="shared" si="24"/>
        <v>- - -</v>
      </c>
      <c r="CQ20" s="779"/>
      <c r="CR20" s="778"/>
      <c r="CS20" s="780"/>
      <c r="CT20" s="781"/>
      <c r="CU20" s="782" t="str">
        <f t="shared" si="25"/>
        <v>---</v>
      </c>
      <c r="CV20" s="783" t="str">
        <f t="shared" si="26"/>
        <v>/-/ /-/</v>
      </c>
      <c r="CW20" s="784">
        <f t="shared" si="27"/>
        <v>8</v>
      </c>
      <c r="CX20" s="783">
        <f t="shared" si="28"/>
        <v>2036</v>
      </c>
      <c r="CY20" s="784">
        <f t="shared" si="29"/>
        <v>5</v>
      </c>
      <c r="CZ20" s="783">
        <f t="shared" si="30"/>
        <v>2036</v>
      </c>
      <c r="DA20" s="784">
        <f t="shared" si="31"/>
        <v>2</v>
      </c>
      <c r="DB20" s="785">
        <f t="shared" si="32"/>
        <v>2036</v>
      </c>
      <c r="DC20" s="786" t="str">
        <f t="shared" si="33"/>
        <v>- - -</v>
      </c>
      <c r="DD20" s="786" t="str">
        <f t="shared" si="34"/>
        <v>. .</v>
      </c>
      <c r="DE20" s="736"/>
      <c r="DF20" s="736">
        <f t="shared" si="35"/>
        <v>660</v>
      </c>
      <c r="DG20" s="736">
        <f t="shared" si="36"/>
        <v>-23767</v>
      </c>
      <c r="DH20" s="736">
        <f t="shared" si="37"/>
        <v>-1981</v>
      </c>
      <c r="DI20" s="736" t="str">
        <f t="shared" si="38"/>
        <v>Nữ dưới 30</v>
      </c>
      <c r="DJ20" s="736"/>
      <c r="DK20" s="762"/>
      <c r="DL20" s="778" t="str">
        <f t="shared" si="39"/>
        <v>Đến 30</v>
      </c>
      <c r="DM20" s="787" t="str">
        <f t="shared" si="40"/>
        <v>--</v>
      </c>
      <c r="DN20" s="720"/>
      <c r="DO20" s="788"/>
      <c r="DP20" s="787"/>
      <c r="DQ20" s="780"/>
      <c r="DR20" s="789"/>
      <c r="DS20" s="790"/>
      <c r="DT20" s="791"/>
      <c r="DU20" s="792"/>
      <c r="DV20" s="793"/>
      <c r="DW20" s="753" t="s">
        <v>50</v>
      </c>
      <c r="DX20" s="755" t="s">
        <v>126</v>
      </c>
      <c r="DY20" s="755" t="s">
        <v>50</v>
      </c>
      <c r="DZ20" s="755" t="s">
        <v>342</v>
      </c>
      <c r="EA20" s="794" t="s">
        <v>360</v>
      </c>
      <c r="EB20" s="755" t="s">
        <v>350</v>
      </c>
      <c r="EC20" s="795" t="s">
        <v>360</v>
      </c>
      <c r="ED20" s="753" t="s">
        <v>364</v>
      </c>
      <c r="EE20" s="755">
        <f>(DZ20+0)-(EG20+0)</f>
        <v>0</v>
      </c>
      <c r="EF20" s="755" t="str">
        <f>IF(EE20&gt;0,"Sửa","- - -")</f>
        <v>- - -</v>
      </c>
      <c r="EG20" s="755" t="s">
        <v>342</v>
      </c>
      <c r="EH20" s="794" t="s">
        <v>360</v>
      </c>
      <c r="EI20" s="720" t="s">
        <v>350</v>
      </c>
      <c r="EJ20" s="777" t="s">
        <v>360</v>
      </c>
      <c r="EK20" s="796" t="s">
        <v>364</v>
      </c>
      <c r="EL20" s="792"/>
      <c r="EM20" s="797" t="str">
        <f t="shared" si="41"/>
        <v>- - -</v>
      </c>
      <c r="EN20" s="797" t="str">
        <f t="shared" si="42"/>
        <v>---</v>
      </c>
      <c r="EO20" s="797"/>
      <c r="EP20" s="797"/>
      <c r="EQ20" s="797"/>
      <c r="ER20" s="797"/>
      <c r="ES20" s="797"/>
      <c r="ET20" s="797"/>
      <c r="EU20" s="797"/>
      <c r="EV20" s="797"/>
      <c r="EW20" s="797"/>
      <c r="EX20" s="797"/>
      <c r="EY20" s="797"/>
      <c r="EZ20" s="797"/>
      <c r="FA20" s="797"/>
      <c r="FB20" s="797"/>
      <c r="FC20" s="797"/>
      <c r="FD20" s="797"/>
      <c r="FE20" s="797"/>
      <c r="FF20" s="797"/>
      <c r="FG20" s="797"/>
      <c r="FH20" s="797"/>
      <c r="FI20" s="797"/>
      <c r="FJ20" s="797"/>
      <c r="FK20" s="798"/>
      <c r="FL20" s="798"/>
      <c r="FM20" s="798"/>
      <c r="FN20" s="798"/>
      <c r="FO20" s="798"/>
    </row>
    <row r="21" spans="1:171" s="799" customFormat="1" ht="30.75" customHeight="1" x14ac:dyDescent="0.2">
      <c r="A21" s="720">
        <v>267</v>
      </c>
      <c r="B21" s="721">
        <v>8</v>
      </c>
      <c r="C21" s="720"/>
      <c r="D21" s="720" t="str">
        <f t="shared" si="0"/>
        <v>Bà</v>
      </c>
      <c r="E21" s="722" t="s">
        <v>27</v>
      </c>
      <c r="F21" s="720" t="s">
        <v>381</v>
      </c>
      <c r="G21" s="723" t="s">
        <v>383</v>
      </c>
      <c r="H21" s="724" t="s">
        <v>360</v>
      </c>
      <c r="I21" s="725" t="s">
        <v>345</v>
      </c>
      <c r="J21" s="724" t="s">
        <v>360</v>
      </c>
      <c r="K21" s="726" t="s">
        <v>339</v>
      </c>
      <c r="L21" s="727" t="s">
        <v>452</v>
      </c>
      <c r="M21" s="728" t="str">
        <f t="shared" si="1"/>
        <v>VC</v>
      </c>
      <c r="N21" s="729"/>
      <c r="O21" s="730" t="e">
        <f t="shared" si="2"/>
        <v>#N/A</v>
      </c>
      <c r="P21" s="731"/>
      <c r="Q21" s="732" t="e">
        <f>VLOOKUP(P21,'Du lieu lien quan'!$C$2:$H$115,2,0)</f>
        <v>#N/A</v>
      </c>
      <c r="R21" s="801" t="s">
        <v>115</v>
      </c>
      <c r="S21" s="802" t="s">
        <v>556</v>
      </c>
      <c r="T21" s="733" t="str">
        <f>VLOOKUP(Y21,'Du lieu lien quan'!$C$2:$H$60,5,0)</f>
        <v>A2</v>
      </c>
      <c r="U21" s="734" t="str">
        <f>VLOOKUP(Y21,'Du lieu lien quan'!$C$2:$H$60,6,0)</f>
        <v>A2.1</v>
      </c>
      <c r="V21" s="803" t="s">
        <v>424</v>
      </c>
      <c r="W21" s="804" t="str">
        <f t="shared" si="3"/>
        <v>Giảng viên chính (hạng II)</v>
      </c>
      <c r="X21" s="805" t="str">
        <f t="shared" si="4"/>
        <v>V.07.01.02</v>
      </c>
      <c r="Y21" s="735" t="s">
        <v>431</v>
      </c>
      <c r="Z21" s="735" t="str">
        <f>VLOOKUP(Y21,'Du lieu lien quan'!$C$1:$H$133,2,0)</f>
        <v>V.07.01.02</v>
      </c>
      <c r="AA21" s="736" t="str">
        <f t="shared" si="5"/>
        <v>Lương</v>
      </c>
      <c r="AB21" s="737">
        <v>0</v>
      </c>
      <c r="AC21" s="738" t="str">
        <f t="shared" si="43"/>
        <v>/</v>
      </c>
      <c r="AD21" s="739">
        <f t="shared" si="44"/>
        <v>8</v>
      </c>
      <c r="AE21" s="740">
        <f t="shared" si="6"/>
        <v>4.0600000000000005</v>
      </c>
      <c r="AF21" s="741"/>
      <c r="AG21" s="741"/>
      <c r="AH21" s="742"/>
      <c r="AI21" s="743" t="s">
        <v>360</v>
      </c>
      <c r="AJ21" s="744"/>
      <c r="AK21" s="743" t="s">
        <v>360</v>
      </c>
      <c r="AL21" s="745"/>
      <c r="AM21" s="746"/>
      <c r="AN21" s="747"/>
      <c r="AO21" s="748">
        <f t="shared" si="7"/>
        <v>1</v>
      </c>
      <c r="AP21" s="749" t="str">
        <f t="shared" si="8"/>
        <v>/</v>
      </c>
      <c r="AQ21" s="750">
        <f t="shared" si="9"/>
        <v>8</v>
      </c>
      <c r="AR21" s="751">
        <f t="shared" si="10"/>
        <v>4.4000000000000004</v>
      </c>
      <c r="AS21" s="752"/>
      <c r="AT21" s="753" t="s">
        <v>342</v>
      </c>
      <c r="AU21" s="754" t="s">
        <v>360</v>
      </c>
      <c r="AV21" s="755" t="s">
        <v>342</v>
      </c>
      <c r="AW21" s="754" t="s">
        <v>360</v>
      </c>
      <c r="AX21" s="756">
        <v>2021</v>
      </c>
      <c r="AY21" s="757"/>
      <c r="AZ21" s="758" t="s">
        <v>639</v>
      </c>
      <c r="BA21" s="759"/>
      <c r="BB21" s="760">
        <f t="shared" si="11"/>
        <v>3</v>
      </c>
      <c r="BC21" s="761">
        <f t="shared" si="12"/>
        <v>-24253</v>
      </c>
      <c r="BD21" s="761">
        <f>VLOOKUP(Y21,'Du lieu lien quan'!$C$1:$F$60,3,0)</f>
        <v>4.4000000000000004</v>
      </c>
      <c r="BE21" s="762">
        <f>VLOOKUP(Y21,'Du lieu lien quan'!$C$1:$F$60,4,0)</f>
        <v>0.34</v>
      </c>
      <c r="BF21" s="763" t="e">
        <f t="shared" si="13"/>
        <v>#VALUE!</v>
      </c>
      <c r="BG21" s="878">
        <v>14</v>
      </c>
      <c r="BH21" s="764" t="s">
        <v>333</v>
      </c>
      <c r="BI21" s="765" t="s">
        <v>342</v>
      </c>
      <c r="BJ21" s="2272">
        <v>10</v>
      </c>
      <c r="BK21" s="807" t="s">
        <v>360</v>
      </c>
      <c r="BL21" s="2264">
        <v>2021</v>
      </c>
      <c r="BM21" s="808"/>
      <c r="BN21" s="809"/>
      <c r="BO21" s="767"/>
      <c r="BP21" s="810">
        <f t="shared" si="14"/>
        <v>15</v>
      </c>
      <c r="BQ21" s="811" t="s">
        <v>333</v>
      </c>
      <c r="BR21" s="754" t="s">
        <v>342</v>
      </c>
      <c r="BS21" s="812">
        <v>10</v>
      </c>
      <c r="BT21" s="792" t="s">
        <v>360</v>
      </c>
      <c r="BU21" s="769">
        <v>2022</v>
      </c>
      <c r="BV21" s="769"/>
      <c r="BW21" s="770"/>
      <c r="BX21" s="771"/>
      <c r="BY21" s="762" t="e">
        <f t="shared" si="15"/>
        <v>#VALUE!</v>
      </c>
      <c r="BZ21" s="772" t="str">
        <f t="shared" ref="BZ21:BZ35" si="45">IF(AND(CV21="Hưu",BG21&gt;3),12-(12*(DB21-BV21)+(DA21-BT21))-BN21,"- - -")</f>
        <v>- - -</v>
      </c>
      <c r="CA21" s="773" t="str">
        <f t="shared" si="17"/>
        <v>Chánh Văn phòng Học viện, Trưởng Ban Tổ chức - Cán bộ, Trưởng Khoa Quản lý nhà nước về Kinh tế và Tài chính công</v>
      </c>
      <c r="CB21" s="774" t="str">
        <f t="shared" si="18"/>
        <v>A</v>
      </c>
      <c r="CC21" s="736" t="str">
        <f t="shared" si="19"/>
        <v>=&gt; s</v>
      </c>
      <c r="CD21" s="720">
        <f t="shared" si="20"/>
        <v>24277</v>
      </c>
      <c r="CE21" s="720" t="str">
        <f t="shared" si="21"/>
        <v>---</v>
      </c>
      <c r="CF21" s="775"/>
      <c r="CG21" s="720"/>
      <c r="CH21" s="776"/>
      <c r="CI21" s="720"/>
      <c r="CJ21" s="777" t="str">
        <f t="shared" si="22"/>
        <v>- - -</v>
      </c>
      <c r="CK21" s="778" t="str">
        <f t="shared" si="23"/>
        <v>- - -</v>
      </c>
      <c r="CL21" s="779"/>
      <c r="CM21" s="778"/>
      <c r="CN21" s="780"/>
      <c r="CO21" s="777"/>
      <c r="CP21" s="778" t="str">
        <f t="shared" si="24"/>
        <v>- - -</v>
      </c>
      <c r="CQ21" s="779"/>
      <c r="CR21" s="778"/>
      <c r="CS21" s="780"/>
      <c r="CT21" s="781"/>
      <c r="CU21" s="782" t="str">
        <f t="shared" si="25"/>
        <v>---</v>
      </c>
      <c r="CV21" s="783" t="str">
        <f t="shared" si="26"/>
        <v>/-/ /-/</v>
      </c>
      <c r="CW21" s="784">
        <f t="shared" si="27"/>
        <v>7</v>
      </c>
      <c r="CX21" s="783">
        <f t="shared" si="28"/>
        <v>2033</v>
      </c>
      <c r="CY21" s="784">
        <f t="shared" si="29"/>
        <v>4</v>
      </c>
      <c r="CZ21" s="783">
        <f t="shared" si="30"/>
        <v>2033</v>
      </c>
      <c r="DA21" s="784">
        <f t="shared" si="31"/>
        <v>1</v>
      </c>
      <c r="DB21" s="785">
        <f t="shared" si="32"/>
        <v>2033</v>
      </c>
      <c r="DC21" s="786" t="str">
        <f t="shared" si="33"/>
        <v>- - -</v>
      </c>
      <c r="DD21" s="786" t="str">
        <f t="shared" si="34"/>
        <v>. .</v>
      </c>
      <c r="DE21" s="736"/>
      <c r="DF21" s="736">
        <f t="shared" si="35"/>
        <v>660</v>
      </c>
      <c r="DG21" s="736">
        <f t="shared" si="36"/>
        <v>-23730</v>
      </c>
      <c r="DH21" s="736">
        <f t="shared" si="37"/>
        <v>-1978</v>
      </c>
      <c r="DI21" s="736" t="str">
        <f t="shared" si="38"/>
        <v>Nữ dưới 30</v>
      </c>
      <c r="DJ21" s="736"/>
      <c r="DK21" s="762"/>
      <c r="DL21" s="778" t="str">
        <f t="shared" si="39"/>
        <v>Đến 30</v>
      </c>
      <c r="DM21" s="787" t="str">
        <f t="shared" si="40"/>
        <v>--</v>
      </c>
      <c r="DN21" s="720"/>
      <c r="DO21" s="788"/>
      <c r="DP21" s="787"/>
      <c r="DQ21" s="780"/>
      <c r="DR21" s="789"/>
      <c r="DS21" s="790"/>
      <c r="DT21" s="791"/>
      <c r="DU21" s="792"/>
      <c r="DV21" s="793"/>
      <c r="DW21" s="753" t="s">
        <v>115</v>
      </c>
      <c r="DX21" s="755" t="s">
        <v>126</v>
      </c>
      <c r="DY21" s="755" t="s">
        <v>115</v>
      </c>
      <c r="DZ21" s="755" t="s">
        <v>342</v>
      </c>
      <c r="EA21" s="794" t="s">
        <v>360</v>
      </c>
      <c r="EB21" s="755" t="s">
        <v>373</v>
      </c>
      <c r="EC21" s="795" t="s">
        <v>360</v>
      </c>
      <c r="ED21" s="753">
        <v>2012</v>
      </c>
      <c r="EE21" s="755">
        <f>(DZ21+0)-(EG21+0)</f>
        <v>0</v>
      </c>
      <c r="EF21" s="755" t="str">
        <f>IF(EE21&gt;0,"Sửa","- - -")</f>
        <v>- - -</v>
      </c>
      <c r="EG21" s="755" t="s">
        <v>342</v>
      </c>
      <c r="EH21" s="794" t="s">
        <v>360</v>
      </c>
      <c r="EI21" s="720" t="s">
        <v>373</v>
      </c>
      <c r="EJ21" s="777" t="s">
        <v>360</v>
      </c>
      <c r="EK21" s="796">
        <v>2012</v>
      </c>
      <c r="EL21" s="792"/>
      <c r="EM21" s="797">
        <f t="shared" si="41"/>
        <v>3.74</v>
      </c>
      <c r="EN21" s="797" t="str">
        <f t="shared" si="42"/>
        <v>---</v>
      </c>
      <c r="EO21" s="797"/>
      <c r="EP21" s="797"/>
      <c r="EQ21" s="797"/>
      <c r="ER21" s="797"/>
      <c r="ES21" s="797"/>
      <c r="ET21" s="797"/>
      <c r="EU21" s="797"/>
      <c r="EV21" s="797"/>
      <c r="EW21" s="797"/>
      <c r="EX21" s="797"/>
      <c r="EY21" s="797"/>
      <c r="EZ21" s="797"/>
      <c r="FA21" s="797"/>
      <c r="FB21" s="797"/>
      <c r="FC21" s="797"/>
      <c r="FD21" s="797"/>
      <c r="FE21" s="797"/>
      <c r="FF21" s="797"/>
      <c r="FG21" s="797"/>
      <c r="FH21" s="797"/>
      <c r="FI21" s="797"/>
      <c r="FJ21" s="797"/>
      <c r="FK21" s="798"/>
      <c r="FL21" s="798"/>
      <c r="FM21" s="798"/>
      <c r="FN21" s="798"/>
      <c r="FO21" s="798"/>
    </row>
    <row r="22" spans="1:171" s="799" customFormat="1" ht="30.75" customHeight="1" x14ac:dyDescent="0.2">
      <c r="A22" s="720">
        <v>286</v>
      </c>
      <c r="B22" s="721">
        <v>9</v>
      </c>
      <c r="C22" s="720"/>
      <c r="D22" s="720" t="str">
        <f t="shared" si="0"/>
        <v>Bà</v>
      </c>
      <c r="E22" s="722" t="s">
        <v>42</v>
      </c>
      <c r="F22" s="720" t="s">
        <v>381</v>
      </c>
      <c r="G22" s="723" t="s">
        <v>288</v>
      </c>
      <c r="H22" s="724" t="s">
        <v>360</v>
      </c>
      <c r="I22" s="725" t="s">
        <v>344</v>
      </c>
      <c r="J22" s="724" t="s">
        <v>360</v>
      </c>
      <c r="K22" s="726" t="s">
        <v>334</v>
      </c>
      <c r="L22" s="727" t="s">
        <v>452</v>
      </c>
      <c r="M22" s="728" t="str">
        <f t="shared" si="1"/>
        <v>VC</v>
      </c>
      <c r="N22" s="729"/>
      <c r="O22" s="730" t="e">
        <f t="shared" si="2"/>
        <v>#N/A</v>
      </c>
      <c r="P22" s="731"/>
      <c r="Q22" s="732" t="e">
        <f>VLOOKUP(P22,'Du lieu lien quan'!$C$2:$H$115,2,0)</f>
        <v>#N/A</v>
      </c>
      <c r="R22" s="801" t="s">
        <v>43</v>
      </c>
      <c r="S22" s="802" t="s">
        <v>122</v>
      </c>
      <c r="T22" s="733" t="str">
        <f>VLOOKUP(Y22,'Du lieu lien quan'!$C$2:$H$60,5,0)</f>
        <v>A2</v>
      </c>
      <c r="U22" s="734" t="str">
        <f>VLOOKUP(Y22,'Du lieu lien quan'!$C$2:$H$60,6,0)</f>
        <v>A2.1</v>
      </c>
      <c r="V22" s="803" t="s">
        <v>424</v>
      </c>
      <c r="W22" s="804" t="str">
        <f t="shared" si="3"/>
        <v>Giảng viên chính (hạng II)</v>
      </c>
      <c r="X22" s="805" t="str">
        <f t="shared" si="4"/>
        <v>V.07.01.02</v>
      </c>
      <c r="Y22" s="735" t="s">
        <v>431</v>
      </c>
      <c r="Z22" s="735" t="str">
        <f>VLOOKUP(Y22,'Du lieu lien quan'!$C$1:$H$133,2,0)</f>
        <v>V.07.01.02</v>
      </c>
      <c r="AA22" s="736" t="str">
        <f t="shared" si="5"/>
        <v>Lương</v>
      </c>
      <c r="AB22" s="737">
        <v>0</v>
      </c>
      <c r="AC22" s="738" t="str">
        <f t="shared" si="43"/>
        <v>/</v>
      </c>
      <c r="AD22" s="739">
        <f t="shared" si="44"/>
        <v>8</v>
      </c>
      <c r="AE22" s="740">
        <f t="shared" si="6"/>
        <v>4.0600000000000005</v>
      </c>
      <c r="AF22" s="741"/>
      <c r="AG22" s="741"/>
      <c r="AH22" s="742" t="s">
        <v>342</v>
      </c>
      <c r="AI22" s="743" t="s">
        <v>360</v>
      </c>
      <c r="AJ22" s="744" t="s">
        <v>372</v>
      </c>
      <c r="AK22" s="743" t="s">
        <v>360</v>
      </c>
      <c r="AL22" s="745">
        <v>2015</v>
      </c>
      <c r="AM22" s="746"/>
      <c r="AN22" s="747"/>
      <c r="AO22" s="748">
        <f t="shared" si="7"/>
        <v>1</v>
      </c>
      <c r="AP22" s="749" t="str">
        <f t="shared" si="8"/>
        <v>/</v>
      </c>
      <c r="AQ22" s="750">
        <f t="shared" si="9"/>
        <v>8</v>
      </c>
      <c r="AR22" s="751">
        <f t="shared" si="10"/>
        <v>4.4000000000000004</v>
      </c>
      <c r="AS22" s="752"/>
      <c r="AT22" s="753" t="s">
        <v>342</v>
      </c>
      <c r="AU22" s="754" t="s">
        <v>360</v>
      </c>
      <c r="AV22" s="755" t="s">
        <v>342</v>
      </c>
      <c r="AW22" s="754" t="s">
        <v>360</v>
      </c>
      <c r="AX22" s="756">
        <v>2021</v>
      </c>
      <c r="AY22" s="757"/>
      <c r="AZ22" s="758" t="s">
        <v>639</v>
      </c>
      <c r="BA22" s="759"/>
      <c r="BB22" s="760">
        <f t="shared" si="11"/>
        <v>3</v>
      </c>
      <c r="BC22" s="761">
        <f t="shared" si="12"/>
        <v>-24253</v>
      </c>
      <c r="BD22" s="761">
        <f>VLOOKUP(Y22,'Du lieu lien quan'!$C$1:$F$60,3,0)</f>
        <v>4.4000000000000004</v>
      </c>
      <c r="BE22" s="762">
        <f>VLOOKUP(Y22,'Du lieu lien quan'!$C$1:$F$60,4,0)</f>
        <v>0.34</v>
      </c>
      <c r="BF22" s="763" t="e">
        <f t="shared" si="13"/>
        <v>#VALUE!</v>
      </c>
      <c r="BG22" s="878">
        <v>15</v>
      </c>
      <c r="BH22" s="764" t="s">
        <v>333</v>
      </c>
      <c r="BI22" s="765" t="s">
        <v>342</v>
      </c>
      <c r="BJ22" s="2272">
        <v>10</v>
      </c>
      <c r="BK22" s="807" t="s">
        <v>360</v>
      </c>
      <c r="BL22" s="2264">
        <v>2021</v>
      </c>
      <c r="BM22" s="808"/>
      <c r="BN22" s="809"/>
      <c r="BO22" s="767"/>
      <c r="BP22" s="810">
        <f t="shared" si="14"/>
        <v>16</v>
      </c>
      <c r="BQ22" s="811" t="s">
        <v>333</v>
      </c>
      <c r="BR22" s="754" t="s">
        <v>342</v>
      </c>
      <c r="BS22" s="812">
        <v>10</v>
      </c>
      <c r="BT22" s="792" t="s">
        <v>360</v>
      </c>
      <c r="BU22" s="769">
        <v>2022</v>
      </c>
      <c r="BV22" s="769"/>
      <c r="BW22" s="770"/>
      <c r="BX22" s="771"/>
      <c r="BY22" s="762" t="e">
        <f t="shared" si="15"/>
        <v>#VALUE!</v>
      </c>
      <c r="BZ22" s="772" t="str">
        <f t="shared" si="45"/>
        <v>- - -</v>
      </c>
      <c r="CA22" s="773" t="str">
        <f t="shared" si="17"/>
        <v>Chánh Văn phòng Học viện, Trưởng Ban Tổ chức - Cán bộ, Trưởng Khoa Quản lý nhà nước về Xã hội</v>
      </c>
      <c r="CB22" s="774" t="str">
        <f t="shared" si="18"/>
        <v>A</v>
      </c>
      <c r="CC22" s="736" t="str">
        <f t="shared" si="19"/>
        <v>=&gt; s</v>
      </c>
      <c r="CD22" s="720">
        <f t="shared" si="20"/>
        <v>24277</v>
      </c>
      <c r="CE22" s="720" t="str">
        <f t="shared" si="21"/>
        <v>---</v>
      </c>
      <c r="CF22" s="775"/>
      <c r="CG22" s="720"/>
      <c r="CH22" s="776"/>
      <c r="CI22" s="720"/>
      <c r="CJ22" s="777" t="str">
        <f t="shared" si="22"/>
        <v>- - -</v>
      </c>
      <c r="CK22" s="778" t="str">
        <f t="shared" si="23"/>
        <v>- - -</v>
      </c>
      <c r="CL22" s="779"/>
      <c r="CM22" s="778"/>
      <c r="CN22" s="780"/>
      <c r="CO22" s="777"/>
      <c r="CP22" s="778" t="str">
        <f t="shared" si="24"/>
        <v>- - -</v>
      </c>
      <c r="CQ22" s="779"/>
      <c r="CR22" s="778"/>
      <c r="CS22" s="780"/>
      <c r="CT22" s="781"/>
      <c r="CU22" s="782" t="str">
        <f t="shared" si="25"/>
        <v>---</v>
      </c>
      <c r="CV22" s="783" t="str">
        <f t="shared" si="26"/>
        <v>/-/ /-/</v>
      </c>
      <c r="CW22" s="784">
        <f t="shared" si="27"/>
        <v>6</v>
      </c>
      <c r="CX22" s="783">
        <f t="shared" si="28"/>
        <v>2038</v>
      </c>
      <c r="CY22" s="784">
        <f t="shared" si="29"/>
        <v>3</v>
      </c>
      <c r="CZ22" s="783">
        <f t="shared" si="30"/>
        <v>2038</v>
      </c>
      <c r="DA22" s="784">
        <f t="shared" si="31"/>
        <v>12</v>
      </c>
      <c r="DB22" s="785">
        <f t="shared" si="32"/>
        <v>2037</v>
      </c>
      <c r="DC22" s="786" t="str">
        <f t="shared" si="33"/>
        <v>- - -</v>
      </c>
      <c r="DD22" s="786" t="str">
        <f t="shared" si="34"/>
        <v>. .</v>
      </c>
      <c r="DE22" s="736"/>
      <c r="DF22" s="736">
        <f t="shared" si="35"/>
        <v>660</v>
      </c>
      <c r="DG22" s="736">
        <f t="shared" si="36"/>
        <v>-23789</v>
      </c>
      <c r="DH22" s="736">
        <f t="shared" si="37"/>
        <v>-1983</v>
      </c>
      <c r="DI22" s="736" t="str">
        <f t="shared" si="38"/>
        <v>Nữ dưới 30</v>
      </c>
      <c r="DJ22" s="736"/>
      <c r="DK22" s="762"/>
      <c r="DL22" s="778" t="str">
        <f t="shared" si="39"/>
        <v>Đến 30</v>
      </c>
      <c r="DM22" s="787" t="str">
        <f t="shared" si="40"/>
        <v>TD</v>
      </c>
      <c r="DN22" s="720">
        <v>2012</v>
      </c>
      <c r="DO22" s="788"/>
      <c r="DP22" s="787"/>
      <c r="DQ22" s="780"/>
      <c r="DR22" s="789"/>
      <c r="DS22" s="790"/>
      <c r="DT22" s="791"/>
      <c r="DU22" s="792"/>
      <c r="DV22" s="793"/>
      <c r="DW22" s="753" t="s">
        <v>43</v>
      </c>
      <c r="DX22" s="755" t="s">
        <v>122</v>
      </c>
      <c r="DY22" s="755" t="s">
        <v>43</v>
      </c>
      <c r="DZ22" s="755" t="s">
        <v>342</v>
      </c>
      <c r="EA22" s="794" t="s">
        <v>360</v>
      </c>
      <c r="EB22" s="755" t="s">
        <v>372</v>
      </c>
      <c r="EC22" s="795" t="s">
        <v>360</v>
      </c>
      <c r="ED22" s="753">
        <v>2012</v>
      </c>
      <c r="EE22" s="755">
        <f>(DZ22+0)-(EG22+0)</f>
        <v>0</v>
      </c>
      <c r="EF22" s="755" t="str">
        <f>IF(EE22&gt;0,"Sửa","- - -")</f>
        <v>- - -</v>
      </c>
      <c r="EG22" s="755" t="s">
        <v>342</v>
      </c>
      <c r="EH22" s="794" t="s">
        <v>360</v>
      </c>
      <c r="EI22" s="720" t="s">
        <v>372</v>
      </c>
      <c r="EJ22" s="777" t="s">
        <v>360</v>
      </c>
      <c r="EK22" s="796">
        <v>2012</v>
      </c>
      <c r="EL22" s="792"/>
      <c r="EM22" s="797">
        <f t="shared" si="41"/>
        <v>3.74</v>
      </c>
      <c r="EN22" s="797" t="str">
        <f t="shared" si="42"/>
        <v>---</v>
      </c>
      <c r="EO22" s="797"/>
      <c r="EP22" s="797"/>
      <c r="EQ22" s="797"/>
      <c r="ER22" s="797"/>
      <c r="ES22" s="797"/>
      <c r="ET22" s="797"/>
      <c r="EU22" s="797"/>
      <c r="EV22" s="797"/>
      <c r="EW22" s="797"/>
      <c r="EX22" s="797"/>
      <c r="EY22" s="797"/>
      <c r="EZ22" s="797"/>
      <c r="FA22" s="797"/>
      <c r="FB22" s="797"/>
      <c r="FC22" s="797"/>
      <c r="FD22" s="797"/>
      <c r="FE22" s="797"/>
      <c r="FF22" s="797"/>
      <c r="FG22" s="797"/>
      <c r="FH22" s="797"/>
      <c r="FI22" s="797"/>
      <c r="FJ22" s="797"/>
      <c r="FK22" s="798"/>
      <c r="FL22" s="798"/>
      <c r="FM22" s="798"/>
      <c r="FN22" s="798"/>
      <c r="FO22" s="798"/>
    </row>
    <row r="23" spans="1:171" s="799" customFormat="1" ht="30.75" customHeight="1" x14ac:dyDescent="0.2">
      <c r="A23" s="720">
        <v>296</v>
      </c>
      <c r="B23" s="721">
        <v>10</v>
      </c>
      <c r="C23" s="720"/>
      <c r="D23" s="720" t="str">
        <f t="shared" si="0"/>
        <v>Ông</v>
      </c>
      <c r="E23" s="722" t="s">
        <v>44</v>
      </c>
      <c r="F23" s="720" t="s">
        <v>379</v>
      </c>
      <c r="G23" s="723" t="s">
        <v>342</v>
      </c>
      <c r="H23" s="724" t="s">
        <v>360</v>
      </c>
      <c r="I23" s="725" t="s">
        <v>349</v>
      </c>
      <c r="J23" s="724" t="s">
        <v>360</v>
      </c>
      <c r="K23" s="726" t="s">
        <v>311</v>
      </c>
      <c r="L23" s="727" t="s">
        <v>452</v>
      </c>
      <c r="M23" s="728" t="str">
        <f t="shared" si="1"/>
        <v>VC</v>
      </c>
      <c r="N23" s="729"/>
      <c r="O23" s="730" t="e">
        <f t="shared" si="2"/>
        <v>#N/A</v>
      </c>
      <c r="P23" s="731"/>
      <c r="Q23" s="732" t="e">
        <f>VLOOKUP(P23,'Du lieu lien quan'!$C$2:$H$115,2,0)</f>
        <v>#N/A</v>
      </c>
      <c r="R23" s="801" t="s">
        <v>385</v>
      </c>
      <c r="S23" s="802" t="s">
        <v>122</v>
      </c>
      <c r="T23" s="733" t="str">
        <f>VLOOKUP(Y23,'Du lieu lien quan'!$C$2:$H$60,5,0)</f>
        <v>A2</v>
      </c>
      <c r="U23" s="734" t="str">
        <f>VLOOKUP(Y23,'Du lieu lien quan'!$C$2:$H$60,6,0)</f>
        <v>A2.1</v>
      </c>
      <c r="V23" s="803" t="s">
        <v>424</v>
      </c>
      <c r="W23" s="804" t="str">
        <f t="shared" si="3"/>
        <v>Giảng viên chính (hạng II)</v>
      </c>
      <c r="X23" s="805" t="str">
        <f t="shared" si="4"/>
        <v>V.07.01.02</v>
      </c>
      <c r="Y23" s="735" t="s">
        <v>431</v>
      </c>
      <c r="Z23" s="735" t="str">
        <f>VLOOKUP(Y23,'Du lieu lien quan'!$C$1:$H$133,2,0)</f>
        <v>V.07.01.02</v>
      </c>
      <c r="AA23" s="736" t="str">
        <f t="shared" si="5"/>
        <v>Lương</v>
      </c>
      <c r="AB23" s="737">
        <v>0</v>
      </c>
      <c r="AC23" s="738" t="str">
        <f t="shared" si="43"/>
        <v>/</v>
      </c>
      <c r="AD23" s="739">
        <f t="shared" si="44"/>
        <v>8</v>
      </c>
      <c r="AE23" s="740">
        <f t="shared" si="6"/>
        <v>4.0600000000000005</v>
      </c>
      <c r="AF23" s="741"/>
      <c r="AG23" s="741"/>
      <c r="AH23" s="742"/>
      <c r="AI23" s="743" t="s">
        <v>360</v>
      </c>
      <c r="AJ23" s="744"/>
      <c r="AK23" s="743" t="s">
        <v>360</v>
      </c>
      <c r="AL23" s="745"/>
      <c r="AM23" s="746"/>
      <c r="AN23" s="747"/>
      <c r="AO23" s="748">
        <f t="shared" si="7"/>
        <v>1</v>
      </c>
      <c r="AP23" s="749" t="str">
        <f t="shared" si="8"/>
        <v>/</v>
      </c>
      <c r="AQ23" s="750">
        <f t="shared" si="9"/>
        <v>8</v>
      </c>
      <c r="AR23" s="751">
        <f t="shared" si="10"/>
        <v>4.4000000000000004</v>
      </c>
      <c r="AS23" s="752"/>
      <c r="AT23" s="753" t="s">
        <v>342</v>
      </c>
      <c r="AU23" s="754" t="s">
        <v>360</v>
      </c>
      <c r="AV23" s="755" t="s">
        <v>349</v>
      </c>
      <c r="AW23" s="754" t="s">
        <v>360</v>
      </c>
      <c r="AX23" s="756">
        <v>2020</v>
      </c>
      <c r="AY23" s="757"/>
      <c r="AZ23" s="758" t="s">
        <v>639</v>
      </c>
      <c r="BA23" s="759"/>
      <c r="BB23" s="760">
        <f t="shared" si="11"/>
        <v>3</v>
      </c>
      <c r="BC23" s="761">
        <f t="shared" si="12"/>
        <v>-24249</v>
      </c>
      <c r="BD23" s="761">
        <f>VLOOKUP(Y23,'Du lieu lien quan'!$C$1:$F$60,3,0)</f>
        <v>4.4000000000000004</v>
      </c>
      <c r="BE23" s="762">
        <f>VLOOKUP(Y23,'Du lieu lien quan'!$C$1:$F$60,4,0)</f>
        <v>0.34</v>
      </c>
      <c r="BF23" s="763" t="e">
        <f t="shared" si="13"/>
        <v>#VALUE!</v>
      </c>
      <c r="BG23" s="878">
        <v>20</v>
      </c>
      <c r="BH23" s="764" t="s">
        <v>333</v>
      </c>
      <c r="BI23" s="765" t="s">
        <v>342</v>
      </c>
      <c r="BJ23" s="2272">
        <v>10</v>
      </c>
      <c r="BK23" s="807" t="s">
        <v>360</v>
      </c>
      <c r="BL23" s="2264">
        <v>2021</v>
      </c>
      <c r="BM23" s="808"/>
      <c r="BN23" s="809"/>
      <c r="BO23" s="767"/>
      <c r="BP23" s="810">
        <f t="shared" si="14"/>
        <v>21</v>
      </c>
      <c r="BQ23" s="811" t="s">
        <v>333</v>
      </c>
      <c r="BR23" s="754" t="s">
        <v>342</v>
      </c>
      <c r="BS23" s="812">
        <v>10</v>
      </c>
      <c r="BT23" s="792" t="s">
        <v>360</v>
      </c>
      <c r="BU23" s="769">
        <v>2022</v>
      </c>
      <c r="BV23" s="769"/>
      <c r="BW23" s="770"/>
      <c r="BX23" s="771"/>
      <c r="BY23" s="762" t="e">
        <f t="shared" si="15"/>
        <v>#VALUE!</v>
      </c>
      <c r="BZ23" s="772" t="str">
        <f t="shared" si="45"/>
        <v>- - -</v>
      </c>
      <c r="CA23" s="773" t="str">
        <f t="shared" si="17"/>
        <v>Chánh Văn phòng Học viện, Trưởng Ban Tổ chức - Cán bộ, Trưởng Khoa Quản lý nhà nước về Xã hội</v>
      </c>
      <c r="CB23" s="774" t="str">
        <f t="shared" si="18"/>
        <v>A</v>
      </c>
      <c r="CC23" s="736" t="str">
        <f t="shared" si="19"/>
        <v>=&gt; s</v>
      </c>
      <c r="CD23" s="720">
        <f t="shared" si="20"/>
        <v>24273</v>
      </c>
      <c r="CE23" s="720" t="str">
        <f t="shared" si="21"/>
        <v>---</v>
      </c>
      <c r="CF23" s="775"/>
      <c r="CG23" s="720"/>
      <c r="CH23" s="776"/>
      <c r="CI23" s="720"/>
      <c r="CJ23" s="777" t="str">
        <f t="shared" si="22"/>
        <v>- - -</v>
      </c>
      <c r="CK23" s="778" t="str">
        <f t="shared" si="23"/>
        <v>- - -</v>
      </c>
      <c r="CL23" s="779"/>
      <c r="CM23" s="778"/>
      <c r="CN23" s="780"/>
      <c r="CO23" s="777"/>
      <c r="CP23" s="778" t="str">
        <f t="shared" si="24"/>
        <v>- - -</v>
      </c>
      <c r="CQ23" s="779"/>
      <c r="CR23" s="778"/>
      <c r="CS23" s="780"/>
      <c r="CT23" s="781"/>
      <c r="CU23" s="782" t="str">
        <f t="shared" si="25"/>
        <v>---</v>
      </c>
      <c r="CV23" s="783" t="str">
        <f t="shared" si="26"/>
        <v>/-/ /-/</v>
      </c>
      <c r="CW23" s="784">
        <f t="shared" si="27"/>
        <v>10</v>
      </c>
      <c r="CX23" s="783">
        <f t="shared" si="28"/>
        <v>2037</v>
      </c>
      <c r="CY23" s="784">
        <f t="shared" si="29"/>
        <v>7</v>
      </c>
      <c r="CZ23" s="783">
        <f t="shared" si="30"/>
        <v>2037</v>
      </c>
      <c r="DA23" s="784">
        <f t="shared" si="31"/>
        <v>4</v>
      </c>
      <c r="DB23" s="785">
        <f t="shared" si="32"/>
        <v>2037</v>
      </c>
      <c r="DC23" s="786" t="str">
        <f t="shared" si="33"/>
        <v>- - -</v>
      </c>
      <c r="DD23" s="786" t="str">
        <f t="shared" si="34"/>
        <v>. .</v>
      </c>
      <c r="DE23" s="736"/>
      <c r="DF23" s="736">
        <f t="shared" si="35"/>
        <v>720</v>
      </c>
      <c r="DG23" s="736">
        <f t="shared" si="36"/>
        <v>-23721</v>
      </c>
      <c r="DH23" s="736">
        <f t="shared" si="37"/>
        <v>-1977</v>
      </c>
      <c r="DI23" s="736" t="str">
        <f t="shared" si="38"/>
        <v>Nam dưới 35</v>
      </c>
      <c r="DJ23" s="736"/>
      <c r="DK23" s="762"/>
      <c r="DL23" s="778" t="str">
        <f t="shared" si="39"/>
        <v>Đến 30</v>
      </c>
      <c r="DM23" s="787" t="str">
        <f t="shared" si="40"/>
        <v>--</v>
      </c>
      <c r="DN23" s="720"/>
      <c r="DO23" s="788"/>
      <c r="DP23" s="787"/>
      <c r="DQ23" s="780"/>
      <c r="DR23" s="789"/>
      <c r="DS23" s="790"/>
      <c r="DT23" s="791"/>
      <c r="DU23" s="792"/>
      <c r="DV23" s="793"/>
      <c r="DW23" s="753" t="s">
        <v>385</v>
      </c>
      <c r="DX23" s="755" t="s">
        <v>122</v>
      </c>
      <c r="DY23" s="755" t="s">
        <v>385</v>
      </c>
      <c r="DZ23" s="755" t="s">
        <v>342</v>
      </c>
      <c r="EA23" s="794" t="s">
        <v>360</v>
      </c>
      <c r="EB23" s="755" t="s">
        <v>349</v>
      </c>
      <c r="EC23" s="795" t="s">
        <v>360</v>
      </c>
      <c r="ED23" s="753" t="s">
        <v>364</v>
      </c>
      <c r="EE23" s="755">
        <f>(DZ23+0)-(EG23+0)</f>
        <v>0</v>
      </c>
      <c r="EF23" s="755" t="str">
        <f>IF(EE23&gt;0,"Sửa","- - -")</f>
        <v>- - -</v>
      </c>
      <c r="EG23" s="755" t="s">
        <v>342</v>
      </c>
      <c r="EH23" s="794" t="s">
        <v>360</v>
      </c>
      <c r="EI23" s="720" t="s">
        <v>349</v>
      </c>
      <c r="EJ23" s="777" t="s">
        <v>360</v>
      </c>
      <c r="EK23" s="796" t="s">
        <v>364</v>
      </c>
      <c r="EL23" s="792"/>
      <c r="EM23" s="797">
        <f t="shared" si="41"/>
        <v>3.74</v>
      </c>
      <c r="EN23" s="797" t="str">
        <f t="shared" si="42"/>
        <v>---</v>
      </c>
      <c r="EO23" s="797"/>
      <c r="EP23" s="797"/>
      <c r="EQ23" s="797"/>
      <c r="ER23" s="797"/>
      <c r="ES23" s="797"/>
      <c r="ET23" s="797"/>
      <c r="EU23" s="797"/>
      <c r="EV23" s="797"/>
      <c r="EW23" s="797"/>
      <c r="EX23" s="797"/>
      <c r="EY23" s="797"/>
      <c r="EZ23" s="797"/>
      <c r="FA23" s="797"/>
      <c r="FB23" s="797"/>
      <c r="FC23" s="797"/>
      <c r="FD23" s="797"/>
      <c r="FE23" s="797"/>
      <c r="FF23" s="797"/>
      <c r="FG23" s="797"/>
      <c r="FH23" s="797"/>
      <c r="FI23" s="797"/>
      <c r="FJ23" s="797"/>
      <c r="FK23" s="798"/>
      <c r="FL23" s="798"/>
      <c r="FM23" s="798"/>
      <c r="FN23" s="798"/>
      <c r="FO23" s="798"/>
    </row>
    <row r="24" spans="1:171" s="799" customFormat="1" ht="30.75" customHeight="1" x14ac:dyDescent="0.2">
      <c r="A24" s="720">
        <v>308</v>
      </c>
      <c r="B24" s="721">
        <v>11</v>
      </c>
      <c r="C24" s="720"/>
      <c r="D24" s="720" t="str">
        <f t="shared" si="0"/>
        <v>Bà</v>
      </c>
      <c r="E24" s="722" t="s">
        <v>25</v>
      </c>
      <c r="F24" s="720" t="s">
        <v>381</v>
      </c>
      <c r="G24" s="723" t="s">
        <v>374</v>
      </c>
      <c r="H24" s="724" t="s">
        <v>360</v>
      </c>
      <c r="I24" s="725" t="s">
        <v>343</v>
      </c>
      <c r="J24" s="724" t="s">
        <v>360</v>
      </c>
      <c r="K24" s="726">
        <v>1977</v>
      </c>
      <c r="L24" s="727" t="s">
        <v>452</v>
      </c>
      <c r="M24" s="728" t="str">
        <f t="shared" si="1"/>
        <v>VC</v>
      </c>
      <c r="N24" s="729"/>
      <c r="O24" s="730" t="e">
        <f t="shared" si="2"/>
        <v>#N/A</v>
      </c>
      <c r="P24" s="731"/>
      <c r="Q24" s="732" t="e">
        <f>VLOOKUP(P24,'Du lieu lien quan'!$C$2:$H$115,2,0)</f>
        <v>#N/A</v>
      </c>
      <c r="R24" s="801" t="s">
        <v>461</v>
      </c>
      <c r="S24" s="802" t="s">
        <v>122</v>
      </c>
      <c r="T24" s="733" t="str">
        <f>VLOOKUP(Y24,'Du lieu lien quan'!$C$2:$H$60,5,0)</f>
        <v>A2</v>
      </c>
      <c r="U24" s="734" t="str">
        <f>VLOOKUP(Y24,'Du lieu lien quan'!$C$2:$H$60,6,0)</f>
        <v>A2.1</v>
      </c>
      <c r="V24" s="803" t="s">
        <v>424</v>
      </c>
      <c r="W24" s="804" t="str">
        <f t="shared" si="3"/>
        <v>Giảng viên chính (hạng II)</v>
      </c>
      <c r="X24" s="805" t="str">
        <f t="shared" si="4"/>
        <v>V.07.01.02</v>
      </c>
      <c r="Y24" s="735" t="s">
        <v>431</v>
      </c>
      <c r="Z24" s="735" t="str">
        <f>VLOOKUP(Y24,'Du lieu lien quan'!$C$1:$H$133,2,0)</f>
        <v>V.07.01.02</v>
      </c>
      <c r="AA24" s="736" t="str">
        <f t="shared" si="5"/>
        <v>Lương</v>
      </c>
      <c r="AB24" s="737">
        <v>0</v>
      </c>
      <c r="AC24" s="738" t="str">
        <f t="shared" si="43"/>
        <v>/</v>
      </c>
      <c r="AD24" s="739">
        <f t="shared" si="44"/>
        <v>8</v>
      </c>
      <c r="AE24" s="740">
        <f t="shared" si="6"/>
        <v>4.0600000000000005</v>
      </c>
      <c r="AF24" s="741"/>
      <c r="AG24" s="741"/>
      <c r="AH24" s="742" t="s">
        <v>342</v>
      </c>
      <c r="AI24" s="743" t="s">
        <v>360</v>
      </c>
      <c r="AJ24" s="744" t="s">
        <v>344</v>
      </c>
      <c r="AK24" s="743" t="s">
        <v>360</v>
      </c>
      <c r="AL24" s="745">
        <v>2017</v>
      </c>
      <c r="AM24" s="746"/>
      <c r="AN24" s="747"/>
      <c r="AO24" s="748">
        <f t="shared" si="7"/>
        <v>1</v>
      </c>
      <c r="AP24" s="749" t="str">
        <f t="shared" si="8"/>
        <v>/</v>
      </c>
      <c r="AQ24" s="750">
        <f t="shared" si="9"/>
        <v>8</v>
      </c>
      <c r="AR24" s="751">
        <f t="shared" si="10"/>
        <v>4.4000000000000004</v>
      </c>
      <c r="AS24" s="752"/>
      <c r="AT24" s="753" t="s">
        <v>342</v>
      </c>
      <c r="AU24" s="754" t="s">
        <v>360</v>
      </c>
      <c r="AV24" s="755" t="s">
        <v>342</v>
      </c>
      <c r="AW24" s="754" t="s">
        <v>360</v>
      </c>
      <c r="AX24" s="756">
        <v>2021</v>
      </c>
      <c r="AY24" s="757"/>
      <c r="AZ24" s="758" t="s">
        <v>640</v>
      </c>
      <c r="BA24" s="759"/>
      <c r="BB24" s="760">
        <f t="shared" si="11"/>
        <v>3</v>
      </c>
      <c r="BC24" s="761">
        <f t="shared" si="12"/>
        <v>-24253</v>
      </c>
      <c r="BD24" s="761">
        <f>VLOOKUP(Y24,'Du lieu lien quan'!$C$1:$F$60,3,0)</f>
        <v>4.4000000000000004</v>
      </c>
      <c r="BE24" s="762">
        <f>VLOOKUP(Y24,'Du lieu lien quan'!$C$1:$F$60,4,0)</f>
        <v>0.34</v>
      </c>
      <c r="BF24" s="763" t="e">
        <f t="shared" si="13"/>
        <v>#VALUE!</v>
      </c>
      <c r="BG24" s="878">
        <v>16</v>
      </c>
      <c r="BH24" s="764" t="s">
        <v>333</v>
      </c>
      <c r="BI24" s="765" t="s">
        <v>342</v>
      </c>
      <c r="BJ24" s="2272">
        <v>10</v>
      </c>
      <c r="BK24" s="807" t="s">
        <v>360</v>
      </c>
      <c r="BL24" s="2264">
        <v>2021</v>
      </c>
      <c r="BM24" s="808"/>
      <c r="BN24" s="809"/>
      <c r="BO24" s="767"/>
      <c r="BP24" s="810">
        <f t="shared" si="14"/>
        <v>17</v>
      </c>
      <c r="BQ24" s="811" t="s">
        <v>333</v>
      </c>
      <c r="BR24" s="754" t="s">
        <v>342</v>
      </c>
      <c r="BS24" s="812">
        <v>10</v>
      </c>
      <c r="BT24" s="792" t="s">
        <v>360</v>
      </c>
      <c r="BU24" s="769">
        <v>2022</v>
      </c>
      <c r="BV24" s="769"/>
      <c r="BW24" s="770"/>
      <c r="BX24" s="771"/>
      <c r="BY24" s="762" t="e">
        <f t="shared" si="15"/>
        <v>#VALUE!</v>
      </c>
      <c r="BZ24" s="772" t="str">
        <f t="shared" si="45"/>
        <v>- - -</v>
      </c>
      <c r="CA24" s="773" t="str">
        <f t="shared" si="17"/>
        <v>Chánh Văn phòng Học viện, Trưởng Ban Tổ chức - Cán bộ, Trưởng Khoa Quản lý nhà nước về Xã hội</v>
      </c>
      <c r="CB24" s="774" t="str">
        <f t="shared" si="18"/>
        <v>A</v>
      </c>
      <c r="CC24" s="736" t="str">
        <f t="shared" si="19"/>
        <v>=&gt; s</v>
      </c>
      <c r="CD24" s="720">
        <f t="shared" si="20"/>
        <v>24277</v>
      </c>
      <c r="CE24" s="720" t="str">
        <f t="shared" si="21"/>
        <v>---</v>
      </c>
      <c r="CF24" s="775"/>
      <c r="CG24" s="720"/>
      <c r="CH24" s="776"/>
      <c r="CI24" s="720"/>
      <c r="CJ24" s="777" t="str">
        <f t="shared" si="22"/>
        <v>- - -</v>
      </c>
      <c r="CK24" s="778" t="str">
        <f t="shared" si="23"/>
        <v>- - -</v>
      </c>
      <c r="CL24" s="779"/>
      <c r="CM24" s="778"/>
      <c r="CN24" s="780"/>
      <c r="CO24" s="777"/>
      <c r="CP24" s="778" t="str">
        <f t="shared" si="24"/>
        <v>- - -</v>
      </c>
      <c r="CQ24" s="779"/>
      <c r="CR24" s="778"/>
      <c r="CS24" s="780"/>
      <c r="CT24" s="781"/>
      <c r="CU24" s="782" t="str">
        <f t="shared" si="25"/>
        <v>---</v>
      </c>
      <c r="CV24" s="783" t="str">
        <f t="shared" si="26"/>
        <v>/-/ /-/</v>
      </c>
      <c r="CW24" s="784">
        <f t="shared" si="27"/>
        <v>3</v>
      </c>
      <c r="CX24" s="783">
        <f t="shared" si="28"/>
        <v>2032</v>
      </c>
      <c r="CY24" s="784">
        <f t="shared" si="29"/>
        <v>12</v>
      </c>
      <c r="CZ24" s="783">
        <f t="shared" si="30"/>
        <v>2031</v>
      </c>
      <c r="DA24" s="784">
        <f t="shared" si="31"/>
        <v>9</v>
      </c>
      <c r="DB24" s="785">
        <f t="shared" si="32"/>
        <v>2031</v>
      </c>
      <c r="DC24" s="786" t="str">
        <f t="shared" si="33"/>
        <v>- - -</v>
      </c>
      <c r="DD24" s="786" t="str">
        <f t="shared" si="34"/>
        <v>. .</v>
      </c>
      <c r="DE24" s="736"/>
      <c r="DF24" s="736">
        <f t="shared" si="35"/>
        <v>660</v>
      </c>
      <c r="DG24" s="736">
        <f t="shared" si="36"/>
        <v>-23714</v>
      </c>
      <c r="DH24" s="736">
        <f t="shared" si="37"/>
        <v>-1977</v>
      </c>
      <c r="DI24" s="736" t="str">
        <f t="shared" si="38"/>
        <v>Nữ dưới 30</v>
      </c>
      <c r="DJ24" s="736"/>
      <c r="DK24" s="762"/>
      <c r="DL24" s="778" t="str">
        <f t="shared" si="39"/>
        <v>Đến 30</v>
      </c>
      <c r="DM24" s="787" t="str">
        <f t="shared" si="40"/>
        <v>--</v>
      </c>
      <c r="DN24" s="720"/>
      <c r="DO24" s="788"/>
      <c r="DP24" s="787"/>
      <c r="DQ24" s="780"/>
      <c r="DR24" s="789"/>
      <c r="DS24" s="790"/>
      <c r="DT24" s="791"/>
      <c r="DU24" s="792"/>
      <c r="DV24" s="793"/>
      <c r="DW24" s="753" t="s">
        <v>461</v>
      </c>
      <c r="DX24" s="755" t="s">
        <v>137</v>
      </c>
      <c r="DY24" s="755"/>
      <c r="DZ24" s="755"/>
      <c r="EA24" s="794" t="s">
        <v>360</v>
      </c>
      <c r="EB24" s="755"/>
      <c r="EC24" s="795" t="s">
        <v>360</v>
      </c>
      <c r="ED24" s="753"/>
      <c r="EE24" s="755"/>
      <c r="EF24" s="755"/>
      <c r="EG24" s="755"/>
      <c r="EH24" s="794" t="s">
        <v>360</v>
      </c>
      <c r="EI24" s="720"/>
      <c r="EJ24" s="777" t="s">
        <v>360</v>
      </c>
      <c r="EK24" s="796"/>
      <c r="EL24" s="792"/>
      <c r="EM24" s="797">
        <f t="shared" si="41"/>
        <v>3.74</v>
      </c>
      <c r="EN24" s="797" t="str">
        <f t="shared" si="42"/>
        <v>---</v>
      </c>
      <c r="EO24" s="797"/>
      <c r="EP24" s="797"/>
      <c r="EQ24" s="797"/>
      <c r="ER24" s="797"/>
      <c r="ES24" s="797"/>
      <c r="ET24" s="797"/>
      <c r="EU24" s="797"/>
      <c r="EV24" s="797"/>
      <c r="EW24" s="797"/>
      <c r="EX24" s="797"/>
      <c r="EY24" s="797"/>
      <c r="EZ24" s="797"/>
      <c r="FA24" s="797"/>
      <c r="FB24" s="797"/>
      <c r="FC24" s="797"/>
      <c r="FD24" s="797"/>
      <c r="FE24" s="797"/>
      <c r="FF24" s="797"/>
      <c r="FG24" s="797"/>
      <c r="FH24" s="797"/>
      <c r="FI24" s="797"/>
      <c r="FJ24" s="797"/>
      <c r="FK24" s="798"/>
      <c r="FL24" s="798"/>
      <c r="FM24" s="798"/>
      <c r="FN24" s="798"/>
      <c r="FO24" s="798"/>
    </row>
    <row r="25" spans="1:171" s="799" customFormat="1" ht="30.75" customHeight="1" x14ac:dyDescent="0.2">
      <c r="A25" s="720">
        <v>311</v>
      </c>
      <c r="B25" s="721">
        <v>12</v>
      </c>
      <c r="C25" s="720" t="s">
        <v>388</v>
      </c>
      <c r="D25" s="720" t="str">
        <f t="shared" si="0"/>
        <v>Ông</v>
      </c>
      <c r="E25" s="722" t="s">
        <v>470</v>
      </c>
      <c r="F25" s="720" t="s">
        <v>379</v>
      </c>
      <c r="G25" s="723" t="s">
        <v>332</v>
      </c>
      <c r="H25" s="724" t="s">
        <v>360</v>
      </c>
      <c r="I25" s="725" t="s">
        <v>350</v>
      </c>
      <c r="J25" s="724" t="s">
        <v>360</v>
      </c>
      <c r="K25" s="726">
        <v>1977</v>
      </c>
      <c r="L25" s="727" t="s">
        <v>452</v>
      </c>
      <c r="M25" s="728" t="str">
        <f t="shared" si="1"/>
        <v>VC</v>
      </c>
      <c r="N25" s="729"/>
      <c r="O25" s="730" t="str">
        <f t="shared" si="2"/>
        <v>CVụ</v>
      </c>
      <c r="P25" s="731" t="s">
        <v>256</v>
      </c>
      <c r="Q25" s="732">
        <f>VLOOKUP(P25,'Du lieu lien quan'!$C$2:$H$115,2,0)</f>
        <v>0.4</v>
      </c>
      <c r="R25" s="801" t="s">
        <v>462</v>
      </c>
      <c r="S25" s="802" t="s">
        <v>122</v>
      </c>
      <c r="T25" s="733" t="str">
        <f>VLOOKUP(Y25,'Du lieu lien quan'!$C$2:$H$60,5,0)</f>
        <v>A2</v>
      </c>
      <c r="U25" s="734" t="str">
        <f>VLOOKUP(Y25,'Du lieu lien quan'!$C$2:$H$60,6,0)</f>
        <v>A2.1</v>
      </c>
      <c r="V25" s="803" t="s">
        <v>424</v>
      </c>
      <c r="W25" s="804" t="str">
        <f t="shared" si="3"/>
        <v>Giảng viên chính (hạng II)</v>
      </c>
      <c r="X25" s="805" t="str">
        <f t="shared" si="4"/>
        <v>V.07.01.02</v>
      </c>
      <c r="Y25" s="735" t="s">
        <v>431</v>
      </c>
      <c r="Z25" s="735" t="str">
        <f>VLOOKUP(Y25,'Du lieu lien quan'!$C$1:$H$133,2,0)</f>
        <v>V.07.01.02</v>
      </c>
      <c r="AA25" s="736" t="str">
        <f t="shared" si="5"/>
        <v>Lương</v>
      </c>
      <c r="AB25" s="737">
        <v>1</v>
      </c>
      <c r="AC25" s="738" t="s">
        <v>360</v>
      </c>
      <c r="AD25" s="739">
        <v>8</v>
      </c>
      <c r="AE25" s="740">
        <f t="shared" si="6"/>
        <v>4.4000000000000004</v>
      </c>
      <c r="AF25" s="741"/>
      <c r="AG25" s="741"/>
      <c r="AH25" s="742" t="s">
        <v>342</v>
      </c>
      <c r="AI25" s="743" t="s">
        <v>360</v>
      </c>
      <c r="AJ25" s="744" t="s">
        <v>344</v>
      </c>
      <c r="AK25" s="743" t="s">
        <v>360</v>
      </c>
      <c r="AL25" s="745">
        <v>2019</v>
      </c>
      <c r="AM25" s="746"/>
      <c r="AN25" s="747"/>
      <c r="AO25" s="748">
        <f t="shared" si="7"/>
        <v>2</v>
      </c>
      <c r="AP25" s="749" t="str">
        <f t="shared" si="8"/>
        <v>/</v>
      </c>
      <c r="AQ25" s="750">
        <f t="shared" si="9"/>
        <v>8</v>
      </c>
      <c r="AR25" s="751">
        <f t="shared" si="10"/>
        <v>4.74</v>
      </c>
      <c r="AS25" s="752"/>
      <c r="AT25" s="753" t="s">
        <v>342</v>
      </c>
      <c r="AU25" s="754" t="s">
        <v>360</v>
      </c>
      <c r="AV25" s="755" t="s">
        <v>344</v>
      </c>
      <c r="AW25" s="754" t="s">
        <v>360</v>
      </c>
      <c r="AX25" s="756">
        <v>2022</v>
      </c>
      <c r="AY25" s="757"/>
      <c r="AZ25" s="758" t="s">
        <v>639</v>
      </c>
      <c r="BA25" s="759"/>
      <c r="BB25" s="760">
        <f t="shared" si="11"/>
        <v>3</v>
      </c>
      <c r="BC25" s="761">
        <f t="shared" si="12"/>
        <v>-24269</v>
      </c>
      <c r="BD25" s="761">
        <f>VLOOKUP(Y25,'Du lieu lien quan'!$C$1:$F$60,3,0)</f>
        <v>4.4000000000000004</v>
      </c>
      <c r="BE25" s="762">
        <f>VLOOKUP(Y25,'Du lieu lien quan'!$C$1:$F$60,4,0)</f>
        <v>0.34</v>
      </c>
      <c r="BF25" s="763" t="e">
        <f t="shared" si="13"/>
        <v>#VALUE!</v>
      </c>
      <c r="BG25" s="878">
        <v>17</v>
      </c>
      <c r="BH25" s="764" t="s">
        <v>333</v>
      </c>
      <c r="BI25" s="765" t="s">
        <v>342</v>
      </c>
      <c r="BJ25" s="2272">
        <v>10</v>
      </c>
      <c r="BK25" s="807" t="s">
        <v>360</v>
      </c>
      <c r="BL25" s="2264">
        <v>2021</v>
      </c>
      <c r="BM25" s="808"/>
      <c r="BN25" s="809"/>
      <c r="BO25" s="767"/>
      <c r="BP25" s="810">
        <f t="shared" si="14"/>
        <v>18</v>
      </c>
      <c r="BQ25" s="811" t="s">
        <v>333</v>
      </c>
      <c r="BR25" s="754" t="s">
        <v>342</v>
      </c>
      <c r="BS25" s="812">
        <v>10</v>
      </c>
      <c r="BT25" s="792" t="s">
        <v>360</v>
      </c>
      <c r="BU25" s="769">
        <v>2022</v>
      </c>
      <c r="BV25" s="769"/>
      <c r="BW25" s="770"/>
      <c r="BX25" s="771"/>
      <c r="BY25" s="762" t="e">
        <f t="shared" si="15"/>
        <v>#VALUE!</v>
      </c>
      <c r="BZ25" s="772" t="str">
        <f t="shared" si="45"/>
        <v>- - -</v>
      </c>
      <c r="CA25" s="773" t="str">
        <f t="shared" si="17"/>
        <v>Chánh Văn phòng Học viện, Trưởng Ban Tổ chức - Cán bộ, Trưởng Khoa Quản lý nhà nước về Xã hội</v>
      </c>
      <c r="CB25" s="774" t="str">
        <f t="shared" si="18"/>
        <v>A</v>
      </c>
      <c r="CC25" s="736" t="str">
        <f t="shared" si="19"/>
        <v>=&gt; s</v>
      </c>
      <c r="CD25" s="720">
        <f t="shared" si="20"/>
        <v>24293</v>
      </c>
      <c r="CE25" s="720" t="str">
        <f t="shared" si="21"/>
        <v>---</v>
      </c>
      <c r="CF25" s="775"/>
      <c r="CG25" s="720"/>
      <c r="CH25" s="776"/>
      <c r="CI25" s="720"/>
      <c r="CJ25" s="777" t="str">
        <f t="shared" si="22"/>
        <v>- - -</v>
      </c>
      <c r="CK25" s="778" t="str">
        <f t="shared" si="23"/>
        <v>- - -</v>
      </c>
      <c r="CL25" s="779"/>
      <c r="CM25" s="778"/>
      <c r="CN25" s="780"/>
      <c r="CO25" s="777"/>
      <c r="CP25" s="778" t="str">
        <f t="shared" si="24"/>
        <v>- - -</v>
      </c>
      <c r="CQ25" s="779"/>
      <c r="CR25" s="778"/>
      <c r="CS25" s="780"/>
      <c r="CT25" s="781"/>
      <c r="CU25" s="782" t="str">
        <f t="shared" si="25"/>
        <v>---</v>
      </c>
      <c r="CV25" s="783" t="str">
        <f t="shared" si="26"/>
        <v>/-/ /-/</v>
      </c>
      <c r="CW25" s="784">
        <f t="shared" si="27"/>
        <v>1</v>
      </c>
      <c r="CX25" s="783">
        <f t="shared" si="28"/>
        <v>2038</v>
      </c>
      <c r="CY25" s="784">
        <f t="shared" si="29"/>
        <v>10</v>
      </c>
      <c r="CZ25" s="783">
        <f t="shared" si="30"/>
        <v>2037</v>
      </c>
      <c r="DA25" s="784">
        <f t="shared" si="31"/>
        <v>7</v>
      </c>
      <c r="DB25" s="785">
        <f t="shared" si="32"/>
        <v>2037</v>
      </c>
      <c r="DC25" s="786" t="str">
        <f t="shared" si="33"/>
        <v>- - -</v>
      </c>
      <c r="DD25" s="786" t="str">
        <f t="shared" si="34"/>
        <v>. .</v>
      </c>
      <c r="DE25" s="736"/>
      <c r="DF25" s="736">
        <f t="shared" si="35"/>
        <v>720</v>
      </c>
      <c r="DG25" s="736">
        <f t="shared" si="36"/>
        <v>-23724</v>
      </c>
      <c r="DH25" s="736">
        <f t="shared" si="37"/>
        <v>-1977</v>
      </c>
      <c r="DI25" s="736" t="str">
        <f t="shared" si="38"/>
        <v>Nam dưới 35</v>
      </c>
      <c r="DJ25" s="736"/>
      <c r="DK25" s="762"/>
      <c r="DL25" s="778" t="str">
        <f t="shared" si="39"/>
        <v>Đến 30</v>
      </c>
      <c r="DM25" s="787" t="str">
        <f t="shared" si="40"/>
        <v>--</v>
      </c>
      <c r="DN25" s="720"/>
      <c r="DO25" s="788"/>
      <c r="DP25" s="787"/>
      <c r="DQ25" s="780"/>
      <c r="DR25" s="789"/>
      <c r="DS25" s="790"/>
      <c r="DT25" s="791"/>
      <c r="DU25" s="792"/>
      <c r="DV25" s="793"/>
      <c r="DW25" s="753" t="s">
        <v>462</v>
      </c>
      <c r="DX25" s="755" t="s">
        <v>137</v>
      </c>
      <c r="DY25" s="755"/>
      <c r="DZ25" s="755"/>
      <c r="EA25" s="794"/>
      <c r="EB25" s="755"/>
      <c r="EC25" s="795"/>
      <c r="ED25" s="753"/>
      <c r="EE25" s="755">
        <f>(DZ25+0)-(EG25+0)</f>
        <v>0</v>
      </c>
      <c r="EF25" s="755" t="str">
        <f>IF(EE25&gt;0,"Sửa","- - -")</f>
        <v>- - -</v>
      </c>
      <c r="EG25" s="755"/>
      <c r="EH25" s="794"/>
      <c r="EI25" s="720"/>
      <c r="EJ25" s="777"/>
      <c r="EK25" s="796"/>
      <c r="EL25" s="792"/>
      <c r="EM25" s="797" t="str">
        <f t="shared" si="41"/>
        <v>- - -</v>
      </c>
      <c r="EN25" s="797" t="str">
        <f t="shared" si="42"/>
        <v>---</v>
      </c>
      <c r="EO25" s="797"/>
      <c r="EP25" s="797"/>
      <c r="EQ25" s="797"/>
      <c r="ER25" s="797"/>
      <c r="ES25" s="797"/>
      <c r="ET25" s="797"/>
      <c r="EU25" s="797"/>
      <c r="EV25" s="797"/>
      <c r="EW25" s="797"/>
      <c r="EX25" s="797"/>
      <c r="EY25" s="797"/>
      <c r="EZ25" s="797"/>
      <c r="FA25" s="797"/>
      <c r="FB25" s="797"/>
      <c r="FC25" s="797"/>
      <c r="FD25" s="797"/>
      <c r="FE25" s="797"/>
      <c r="FF25" s="797"/>
      <c r="FG25" s="797"/>
      <c r="FH25" s="797"/>
      <c r="FI25" s="797"/>
      <c r="FJ25" s="797"/>
      <c r="FK25" s="798"/>
      <c r="FL25" s="798"/>
      <c r="FM25" s="798"/>
      <c r="FN25" s="798"/>
      <c r="FO25" s="798"/>
    </row>
    <row r="26" spans="1:171" s="799" customFormat="1" ht="30.75" customHeight="1" x14ac:dyDescent="0.2">
      <c r="A26" s="720">
        <v>821</v>
      </c>
      <c r="B26" s="721">
        <v>13</v>
      </c>
      <c r="C26" s="720"/>
      <c r="D26" s="720" t="str">
        <f t="shared" si="0"/>
        <v>Bà</v>
      </c>
      <c r="E26" s="722" t="s">
        <v>568</v>
      </c>
      <c r="F26" s="720" t="s">
        <v>381</v>
      </c>
      <c r="G26" s="723" t="s">
        <v>383</v>
      </c>
      <c r="H26" s="724" t="s">
        <v>360</v>
      </c>
      <c r="I26" s="725" t="s">
        <v>376</v>
      </c>
      <c r="J26" s="724" t="s">
        <v>360</v>
      </c>
      <c r="K26" s="726">
        <v>1973</v>
      </c>
      <c r="L26" s="727" t="s">
        <v>452</v>
      </c>
      <c r="M26" s="728" t="str">
        <f t="shared" si="1"/>
        <v>VC</v>
      </c>
      <c r="N26" s="729"/>
      <c r="O26" s="730" t="e">
        <f t="shared" si="2"/>
        <v>#N/A</v>
      </c>
      <c r="P26" s="731"/>
      <c r="Q26" s="732" t="e">
        <f>VLOOKUP(P26,'[1]- DLiêu Gốc (Không sửa)'!$C$2:$H$116,2,0)</f>
        <v>#N/A</v>
      </c>
      <c r="R26" s="801" t="s">
        <v>569</v>
      </c>
      <c r="S26" s="802" t="s">
        <v>122</v>
      </c>
      <c r="T26" s="733" t="str">
        <f>VLOOKUP(Y26,'Du lieu lien quan'!$C$2:$H$60,5,0)</f>
        <v>A2</v>
      </c>
      <c r="U26" s="734" t="str">
        <f>VLOOKUP(Y26,'Du lieu lien quan'!$C$2:$H$60,6,0)</f>
        <v>A2.1</v>
      </c>
      <c r="V26" s="803" t="s">
        <v>424</v>
      </c>
      <c r="W26" s="804" t="str">
        <f t="shared" si="3"/>
        <v>Giảng viên chính (hạng II)</v>
      </c>
      <c r="X26" s="805" t="str">
        <f t="shared" si="4"/>
        <v>V.07.01.02</v>
      </c>
      <c r="Y26" s="735" t="s">
        <v>431</v>
      </c>
      <c r="Z26" s="735" t="str">
        <f>VLOOKUP(Y26,'Du lieu lien quan'!$C$1:$H$133,2,0)</f>
        <v>V.07.01.02</v>
      </c>
      <c r="AA26" s="736" t="str">
        <f t="shared" si="5"/>
        <v>Lương</v>
      </c>
      <c r="AB26" s="737">
        <v>0</v>
      </c>
      <c r="AC26" s="738" t="str">
        <f>IF(AD26&gt;0,"/")</f>
        <v>/</v>
      </c>
      <c r="AD26" s="739">
        <f>IF(OR(BE26=0.18,BE26=0.2),12,IF(BE26=0.31,10,IF(BE26=0.33,9,IF(BE26=0.34,8,IF(BE26=0.36,6)))))</f>
        <v>8</v>
      </c>
      <c r="AE26" s="740">
        <f t="shared" si="6"/>
        <v>4.0600000000000005</v>
      </c>
      <c r="AF26" s="741"/>
      <c r="AG26" s="741"/>
      <c r="AH26" s="742"/>
      <c r="AI26" s="743" t="s">
        <v>360</v>
      </c>
      <c r="AJ26" s="744"/>
      <c r="AK26" s="743" t="s">
        <v>360</v>
      </c>
      <c r="AL26" s="745"/>
      <c r="AM26" s="746"/>
      <c r="AN26" s="747"/>
      <c r="AO26" s="748">
        <f t="shared" si="7"/>
        <v>1</v>
      </c>
      <c r="AP26" s="749" t="str">
        <f t="shared" si="8"/>
        <v>/</v>
      </c>
      <c r="AQ26" s="750">
        <f t="shared" si="9"/>
        <v>8</v>
      </c>
      <c r="AR26" s="751">
        <f t="shared" si="10"/>
        <v>4.4000000000000004</v>
      </c>
      <c r="AS26" s="752"/>
      <c r="AT26" s="753" t="s">
        <v>342</v>
      </c>
      <c r="AU26" s="754" t="s">
        <v>360</v>
      </c>
      <c r="AV26" s="755" t="s">
        <v>342</v>
      </c>
      <c r="AW26" s="754" t="s">
        <v>360</v>
      </c>
      <c r="AX26" s="756">
        <v>2021</v>
      </c>
      <c r="AY26" s="757"/>
      <c r="AZ26" s="758" t="s">
        <v>592</v>
      </c>
      <c r="BA26" s="759">
        <v>1.18</v>
      </c>
      <c r="BB26" s="760">
        <f t="shared" si="11"/>
        <v>3</v>
      </c>
      <c r="BC26" s="761">
        <f t="shared" si="12"/>
        <v>-24253</v>
      </c>
      <c r="BD26" s="761">
        <f>VLOOKUP(Y26,'Du lieu lien quan'!$C$1:$F$60,3,0)</f>
        <v>4.4000000000000004</v>
      </c>
      <c r="BE26" s="762">
        <f>VLOOKUP(Y26,'Du lieu lien quan'!$C$1:$F$60,4,0)</f>
        <v>0.34</v>
      </c>
      <c r="BF26" s="763" t="e">
        <f t="shared" si="13"/>
        <v>#VALUE!</v>
      </c>
      <c r="BG26" s="878">
        <v>15</v>
      </c>
      <c r="BH26" s="764" t="s">
        <v>333</v>
      </c>
      <c r="BI26" s="765" t="s">
        <v>342</v>
      </c>
      <c r="BJ26" s="2272">
        <v>10</v>
      </c>
      <c r="BK26" s="807" t="s">
        <v>360</v>
      </c>
      <c r="BL26" s="2264">
        <v>2021</v>
      </c>
      <c r="BM26" s="808"/>
      <c r="BN26" s="809"/>
      <c r="BO26" s="767"/>
      <c r="BP26" s="810">
        <f t="shared" si="14"/>
        <v>16</v>
      </c>
      <c r="BQ26" s="811" t="s">
        <v>333</v>
      </c>
      <c r="BR26" s="754" t="s">
        <v>342</v>
      </c>
      <c r="BS26" s="812">
        <v>10</v>
      </c>
      <c r="BT26" s="792" t="s">
        <v>360</v>
      </c>
      <c r="BU26" s="769">
        <v>2022</v>
      </c>
      <c r="BV26" s="769"/>
      <c r="BW26" s="770"/>
      <c r="BX26" s="771"/>
      <c r="BY26" s="762" t="e">
        <f t="shared" si="15"/>
        <v>#VALUE!</v>
      </c>
      <c r="BZ26" s="772" t="str">
        <f t="shared" si="45"/>
        <v>- - -</v>
      </c>
      <c r="CA26" s="773" t="str">
        <f t="shared" si="17"/>
        <v>Chánh Văn phòng Học viện, Trưởng Ban Tổ chức - Cán bộ, Trưởng Khoa Quản lý nhà nước về Xã hội</v>
      </c>
      <c r="CB26" s="774" t="str">
        <f t="shared" si="18"/>
        <v>A</v>
      </c>
      <c r="CC26" s="736" t="str">
        <f t="shared" si="19"/>
        <v>=&gt; s</v>
      </c>
      <c r="CD26" s="720">
        <f t="shared" si="20"/>
        <v>24277</v>
      </c>
      <c r="CE26" s="720" t="str">
        <f t="shared" si="21"/>
        <v>---</v>
      </c>
      <c r="CF26" s="775"/>
      <c r="CG26" s="720"/>
      <c r="CH26" s="776"/>
      <c r="CI26" s="720"/>
      <c r="CJ26" s="777" t="str">
        <f t="shared" si="22"/>
        <v>- - -</v>
      </c>
      <c r="CK26" s="778" t="str">
        <f t="shared" si="23"/>
        <v>- - -</v>
      </c>
      <c r="CL26" s="779"/>
      <c r="CM26" s="778"/>
      <c r="CN26" s="780"/>
      <c r="CO26" s="777"/>
      <c r="CP26" s="778" t="str">
        <f t="shared" si="24"/>
        <v>CN</v>
      </c>
      <c r="CQ26" s="779">
        <v>6</v>
      </c>
      <c r="CR26" s="778">
        <v>2013</v>
      </c>
      <c r="CS26" s="780"/>
      <c r="CT26" s="781"/>
      <c r="CU26" s="782" t="str">
        <f t="shared" si="25"/>
        <v>---</v>
      </c>
      <c r="CV26" s="783" t="str">
        <f t="shared" si="26"/>
        <v>/-/ /-/</v>
      </c>
      <c r="CW26" s="784">
        <f t="shared" si="27"/>
        <v>2</v>
      </c>
      <c r="CX26" s="783">
        <f t="shared" si="28"/>
        <v>2028</v>
      </c>
      <c r="CY26" s="784">
        <f t="shared" si="29"/>
        <v>11</v>
      </c>
      <c r="CZ26" s="783">
        <f t="shared" si="30"/>
        <v>2027</v>
      </c>
      <c r="DA26" s="784">
        <f t="shared" si="31"/>
        <v>8</v>
      </c>
      <c r="DB26" s="785">
        <f t="shared" si="32"/>
        <v>2027</v>
      </c>
      <c r="DC26" s="786" t="str">
        <f t="shared" si="33"/>
        <v>- - -</v>
      </c>
      <c r="DD26" s="786" t="str">
        <f t="shared" si="34"/>
        <v>. .</v>
      </c>
      <c r="DE26" s="736"/>
      <c r="DF26" s="736">
        <f t="shared" si="35"/>
        <v>660</v>
      </c>
      <c r="DG26" s="736">
        <f t="shared" si="36"/>
        <v>-23665</v>
      </c>
      <c r="DH26" s="736">
        <f t="shared" si="37"/>
        <v>-1973</v>
      </c>
      <c r="DI26" s="736" t="str">
        <f t="shared" si="38"/>
        <v>Nữ dưới 30</v>
      </c>
      <c r="DJ26" s="736"/>
      <c r="DK26" s="762"/>
      <c r="DL26" s="778" t="str">
        <f t="shared" si="39"/>
        <v>Đến 30</v>
      </c>
      <c r="DM26" s="787" t="str">
        <f t="shared" si="40"/>
        <v>--</v>
      </c>
      <c r="DN26" s="720"/>
      <c r="DO26" s="788" t="s">
        <v>268</v>
      </c>
      <c r="DP26" s="787">
        <v>6</v>
      </c>
      <c r="DQ26" s="780">
        <v>2013</v>
      </c>
      <c r="DR26" s="789"/>
      <c r="DS26" s="790"/>
      <c r="DT26" s="791"/>
      <c r="DU26" s="792"/>
      <c r="DV26" s="793"/>
      <c r="DW26" s="753" t="s">
        <v>73</v>
      </c>
      <c r="DX26" s="755" t="s">
        <v>416</v>
      </c>
      <c r="DY26" s="755" t="s">
        <v>73</v>
      </c>
      <c r="DZ26" s="755" t="s">
        <v>342</v>
      </c>
      <c r="EA26" s="794" t="s">
        <v>360</v>
      </c>
      <c r="EB26" s="755" t="s">
        <v>349</v>
      </c>
      <c r="EC26" s="795" t="s">
        <v>360</v>
      </c>
      <c r="ED26" s="753">
        <v>2012</v>
      </c>
      <c r="EE26" s="755">
        <f>(DZ26+0)-(EG26+0)</f>
        <v>0</v>
      </c>
      <c r="EF26" s="755" t="str">
        <f>IF(EE26&gt;0,"Sửa","- - -")</f>
        <v>- - -</v>
      </c>
      <c r="EG26" s="755" t="s">
        <v>342</v>
      </c>
      <c r="EH26" s="794" t="s">
        <v>360</v>
      </c>
      <c r="EI26" s="720" t="s">
        <v>349</v>
      </c>
      <c r="EJ26" s="777" t="s">
        <v>360</v>
      </c>
      <c r="EK26" s="796">
        <v>2012</v>
      </c>
      <c r="EL26" s="792"/>
      <c r="EM26" s="797">
        <f t="shared" si="41"/>
        <v>3.74</v>
      </c>
      <c r="EN26" s="797" t="str">
        <f t="shared" si="42"/>
        <v>---</v>
      </c>
      <c r="EO26" s="797"/>
      <c r="EP26" s="797"/>
      <c r="EQ26" s="797"/>
      <c r="ER26" s="797"/>
      <c r="ES26" s="797"/>
      <c r="ET26" s="797"/>
      <c r="EU26" s="797"/>
      <c r="EV26" s="797"/>
      <c r="EW26" s="797"/>
      <c r="EX26" s="797"/>
      <c r="EY26" s="797"/>
      <c r="EZ26" s="797"/>
      <c r="FA26" s="797"/>
      <c r="FB26" s="797"/>
      <c r="FC26" s="797"/>
      <c r="FD26" s="797"/>
      <c r="FE26" s="797"/>
      <c r="FF26" s="797"/>
      <c r="FG26" s="797"/>
      <c r="FH26" s="797"/>
      <c r="FI26" s="797"/>
      <c r="FJ26" s="797"/>
      <c r="FK26" s="798"/>
      <c r="FL26" s="798"/>
      <c r="FM26" s="798"/>
      <c r="FN26" s="798"/>
      <c r="FO26" s="798"/>
    </row>
    <row r="27" spans="1:171" s="799" customFormat="1" ht="30.75" customHeight="1" x14ac:dyDescent="0.2">
      <c r="A27" s="720">
        <v>337</v>
      </c>
      <c r="B27" s="721">
        <v>14</v>
      </c>
      <c r="C27" s="720" t="s">
        <v>388</v>
      </c>
      <c r="D27" s="720" t="str">
        <f t="shared" si="0"/>
        <v>Bà</v>
      </c>
      <c r="E27" s="722" t="s">
        <v>603</v>
      </c>
      <c r="F27" s="720" t="s">
        <v>381</v>
      </c>
      <c r="G27" s="723" t="s">
        <v>17</v>
      </c>
      <c r="H27" s="724" t="s">
        <v>360</v>
      </c>
      <c r="I27" s="725" t="s">
        <v>345</v>
      </c>
      <c r="J27" s="724" t="s">
        <v>360</v>
      </c>
      <c r="K27" s="726">
        <v>1973</v>
      </c>
      <c r="L27" s="727" t="s">
        <v>452</v>
      </c>
      <c r="M27" s="728" t="str">
        <f t="shared" si="1"/>
        <v>VC</v>
      </c>
      <c r="N27" s="729"/>
      <c r="O27" s="730" t="str">
        <f t="shared" si="2"/>
        <v>CVụ</v>
      </c>
      <c r="P27" s="731" t="s">
        <v>255</v>
      </c>
      <c r="Q27" s="732">
        <f>VLOOKUP(P27,'Du lieu lien quan'!$C$2:$H$115,2,0)</f>
        <v>0.6</v>
      </c>
      <c r="R27" s="801" t="s">
        <v>317</v>
      </c>
      <c r="S27" s="802" t="s">
        <v>130</v>
      </c>
      <c r="T27" s="733" t="str">
        <f>VLOOKUP(Y27,'Du lieu lien quan'!$C$2:$H$60,5,0)</f>
        <v>A2</v>
      </c>
      <c r="U27" s="734" t="str">
        <f>VLOOKUP(Y27,'Du lieu lien quan'!$C$2:$H$60,6,0)</f>
        <v>A2.1</v>
      </c>
      <c r="V27" s="803" t="s">
        <v>424</v>
      </c>
      <c r="W27" s="804" t="str">
        <f t="shared" si="3"/>
        <v>Giảng viên chính (hạng II)</v>
      </c>
      <c r="X27" s="805" t="str">
        <f t="shared" si="4"/>
        <v>V.07.01.02</v>
      </c>
      <c r="Y27" s="735" t="s">
        <v>431</v>
      </c>
      <c r="Z27" s="735" t="str">
        <f>VLOOKUP(Y27,'Du lieu lien quan'!$C$1:$H$133,2,0)</f>
        <v>V.07.01.02</v>
      </c>
      <c r="AA27" s="736" t="str">
        <f t="shared" si="5"/>
        <v>Lương</v>
      </c>
      <c r="AB27" s="737">
        <v>2</v>
      </c>
      <c r="AC27" s="738" t="str">
        <f>IF(AD27&gt;0,"/")</f>
        <v>/</v>
      </c>
      <c r="AD27" s="739">
        <f>IF(OR(BE27=0.18,BE27=0.2),12,IF(BE27=0.31,10,IF(BE27=0.33,9,IF(BE27=0.34,8,IF(BE27=0.36,6)))))</f>
        <v>8</v>
      </c>
      <c r="AE27" s="740">
        <f t="shared" si="6"/>
        <v>4.74</v>
      </c>
      <c r="AF27" s="741"/>
      <c r="AG27" s="741"/>
      <c r="AH27" s="742"/>
      <c r="AI27" s="743" t="s">
        <v>360</v>
      </c>
      <c r="AJ27" s="744"/>
      <c r="AK27" s="743"/>
      <c r="AL27" s="745"/>
      <c r="AM27" s="746"/>
      <c r="AN27" s="747"/>
      <c r="AO27" s="748">
        <f t="shared" si="7"/>
        <v>3</v>
      </c>
      <c r="AP27" s="749" t="str">
        <f t="shared" si="8"/>
        <v>/</v>
      </c>
      <c r="AQ27" s="750">
        <f t="shared" si="9"/>
        <v>8</v>
      </c>
      <c r="AR27" s="751">
        <f t="shared" si="10"/>
        <v>5.08</v>
      </c>
      <c r="AS27" s="752"/>
      <c r="AT27" s="753" t="s">
        <v>342</v>
      </c>
      <c r="AU27" s="754" t="s">
        <v>360</v>
      </c>
      <c r="AV27" s="755" t="s">
        <v>347</v>
      </c>
      <c r="AW27" s="754" t="s">
        <v>360</v>
      </c>
      <c r="AX27" s="756">
        <v>2021</v>
      </c>
      <c r="AY27" s="757"/>
      <c r="AZ27" s="758" t="s">
        <v>639</v>
      </c>
      <c r="BA27" s="759"/>
      <c r="BB27" s="760">
        <f t="shared" si="11"/>
        <v>3</v>
      </c>
      <c r="BC27" s="761">
        <f t="shared" si="12"/>
        <v>-24255</v>
      </c>
      <c r="BD27" s="761">
        <f>VLOOKUP(Y27,'Du lieu lien quan'!$C$1:$F$60,3,0)</f>
        <v>4.4000000000000004</v>
      </c>
      <c r="BE27" s="762">
        <f>VLOOKUP(Y27,'Du lieu lien quan'!$C$1:$F$60,4,0)</f>
        <v>0.34</v>
      </c>
      <c r="BF27" s="763" t="e">
        <f t="shared" si="13"/>
        <v>#VALUE!</v>
      </c>
      <c r="BG27" s="878">
        <v>24</v>
      </c>
      <c r="BH27" s="764" t="s">
        <v>333</v>
      </c>
      <c r="BI27" s="765" t="s">
        <v>342</v>
      </c>
      <c r="BJ27" s="2272">
        <v>10</v>
      </c>
      <c r="BK27" s="807" t="s">
        <v>360</v>
      </c>
      <c r="BL27" s="2264">
        <v>2021</v>
      </c>
      <c r="BM27" s="808"/>
      <c r="BN27" s="809"/>
      <c r="BO27" s="767"/>
      <c r="BP27" s="810">
        <f t="shared" si="14"/>
        <v>25</v>
      </c>
      <c r="BQ27" s="811" t="s">
        <v>333</v>
      </c>
      <c r="BR27" s="754" t="s">
        <v>342</v>
      </c>
      <c r="BS27" s="812">
        <v>10</v>
      </c>
      <c r="BT27" s="792" t="s">
        <v>360</v>
      </c>
      <c r="BU27" s="769">
        <v>2022</v>
      </c>
      <c r="BV27" s="769"/>
      <c r="BW27" s="770"/>
      <c r="BX27" s="771"/>
      <c r="BY27" s="762" t="e">
        <f t="shared" si="15"/>
        <v>#VALUE!</v>
      </c>
      <c r="BZ27" s="772" t="str">
        <f t="shared" si="45"/>
        <v>- - -</v>
      </c>
      <c r="CA27" s="773" t="str">
        <f t="shared" si="17"/>
        <v>Chánh Văn phòng Học viện, Trưởng Ban Tổ chức - Cán bộ, Trưởng Khoa Văn bản và Công nghệ hành chính</v>
      </c>
      <c r="CB27" s="774" t="str">
        <f t="shared" si="18"/>
        <v>A</v>
      </c>
      <c r="CC27" s="736" t="str">
        <f t="shared" si="19"/>
        <v>=&gt; s</v>
      </c>
      <c r="CD27" s="720">
        <f t="shared" si="20"/>
        <v>24279</v>
      </c>
      <c r="CE27" s="720" t="str">
        <f t="shared" si="21"/>
        <v>S</v>
      </c>
      <c r="CF27" s="775">
        <v>2017</v>
      </c>
      <c r="CG27" s="720"/>
      <c r="CH27" s="776"/>
      <c r="CI27" s="720"/>
      <c r="CJ27" s="777" t="str">
        <f t="shared" si="22"/>
        <v>- - -</v>
      </c>
      <c r="CK27" s="778" t="str">
        <f t="shared" si="23"/>
        <v>- - -</v>
      </c>
      <c r="CL27" s="779"/>
      <c r="CM27" s="778"/>
      <c r="CN27" s="780"/>
      <c r="CO27" s="777"/>
      <c r="CP27" s="778" t="str">
        <f t="shared" si="24"/>
        <v>- - -</v>
      </c>
      <c r="CQ27" s="779"/>
      <c r="CR27" s="778"/>
      <c r="CS27" s="780"/>
      <c r="CT27" s="781"/>
      <c r="CU27" s="782" t="str">
        <f t="shared" si="25"/>
        <v>---</v>
      </c>
      <c r="CV27" s="783" t="str">
        <f t="shared" si="26"/>
        <v>/-/ /-/</v>
      </c>
      <c r="CW27" s="784">
        <f t="shared" si="27"/>
        <v>7</v>
      </c>
      <c r="CX27" s="783">
        <f t="shared" si="28"/>
        <v>2028</v>
      </c>
      <c r="CY27" s="784">
        <f t="shared" si="29"/>
        <v>4</v>
      </c>
      <c r="CZ27" s="783">
        <f t="shared" si="30"/>
        <v>2028</v>
      </c>
      <c r="DA27" s="784">
        <f t="shared" si="31"/>
        <v>1</v>
      </c>
      <c r="DB27" s="785">
        <f t="shared" si="32"/>
        <v>2028</v>
      </c>
      <c r="DC27" s="786" t="str">
        <f t="shared" si="33"/>
        <v>- - -</v>
      </c>
      <c r="DD27" s="786" t="str">
        <f t="shared" si="34"/>
        <v>. .</v>
      </c>
      <c r="DE27" s="736"/>
      <c r="DF27" s="736">
        <f t="shared" si="35"/>
        <v>660</v>
      </c>
      <c r="DG27" s="736">
        <f t="shared" si="36"/>
        <v>-23670</v>
      </c>
      <c r="DH27" s="736">
        <f t="shared" si="37"/>
        <v>-1973</v>
      </c>
      <c r="DI27" s="736" t="str">
        <f t="shared" si="38"/>
        <v>Nữ dưới 30</v>
      </c>
      <c r="DJ27" s="736"/>
      <c r="DK27" s="762"/>
      <c r="DL27" s="778" t="str">
        <f t="shared" si="39"/>
        <v>Đến 30</v>
      </c>
      <c r="DM27" s="787" t="str">
        <f t="shared" si="40"/>
        <v>--</v>
      </c>
      <c r="DN27" s="720"/>
      <c r="DO27" s="788"/>
      <c r="DP27" s="787"/>
      <c r="DQ27" s="780"/>
      <c r="DR27" s="789"/>
      <c r="DS27" s="790"/>
      <c r="DT27" s="791"/>
      <c r="DU27" s="792"/>
      <c r="DV27" s="793"/>
      <c r="DW27" s="753" t="s">
        <v>317</v>
      </c>
      <c r="DX27" s="755" t="s">
        <v>130</v>
      </c>
      <c r="DY27" s="755"/>
      <c r="DZ27" s="755"/>
      <c r="EA27" s="794"/>
      <c r="EB27" s="755"/>
      <c r="EC27" s="795"/>
      <c r="ED27" s="753"/>
      <c r="EE27" s="755"/>
      <c r="EF27" s="755"/>
      <c r="EG27" s="755"/>
      <c r="EH27" s="794"/>
      <c r="EI27" s="720"/>
      <c r="EJ27" s="777"/>
      <c r="EK27" s="796"/>
      <c r="EL27" s="792"/>
      <c r="EM27" s="797" t="str">
        <f t="shared" si="41"/>
        <v>- - -</v>
      </c>
      <c r="EN27" s="797" t="str">
        <f t="shared" si="42"/>
        <v>---</v>
      </c>
      <c r="EO27" s="797"/>
      <c r="EP27" s="797"/>
      <c r="EQ27" s="797"/>
      <c r="ER27" s="797"/>
      <c r="ES27" s="797"/>
      <c r="ET27" s="797"/>
      <c r="EU27" s="797"/>
      <c r="EV27" s="797"/>
      <c r="EW27" s="797"/>
      <c r="EX27" s="797"/>
      <c r="EY27" s="797"/>
      <c r="EZ27" s="797"/>
      <c r="FA27" s="797"/>
      <c r="FB27" s="797"/>
      <c r="FC27" s="797"/>
      <c r="FD27" s="797"/>
      <c r="FE27" s="797"/>
      <c r="FF27" s="797"/>
      <c r="FG27" s="797"/>
      <c r="FH27" s="797"/>
      <c r="FI27" s="797"/>
      <c r="FJ27" s="797"/>
      <c r="FK27" s="798"/>
      <c r="FL27" s="798"/>
      <c r="FM27" s="798"/>
      <c r="FN27" s="798"/>
      <c r="FO27" s="798"/>
    </row>
    <row r="28" spans="1:171" s="799" customFormat="1" ht="30.75" customHeight="1" x14ac:dyDescent="0.2">
      <c r="A28" s="720">
        <v>350</v>
      </c>
      <c r="B28" s="721">
        <v>15</v>
      </c>
      <c r="C28" s="720"/>
      <c r="D28" s="720" t="str">
        <f t="shared" si="0"/>
        <v>Bà</v>
      </c>
      <c r="E28" s="722" t="s">
        <v>131</v>
      </c>
      <c r="F28" s="720" t="s">
        <v>381</v>
      </c>
      <c r="G28" s="723" t="s">
        <v>273</v>
      </c>
      <c r="H28" s="724" t="s">
        <v>360</v>
      </c>
      <c r="I28" s="725" t="s">
        <v>350</v>
      </c>
      <c r="J28" s="724" t="s">
        <v>360</v>
      </c>
      <c r="K28" s="726">
        <v>1976</v>
      </c>
      <c r="L28" s="727" t="s">
        <v>452</v>
      </c>
      <c r="M28" s="728" t="str">
        <f t="shared" si="1"/>
        <v>VC</v>
      </c>
      <c r="N28" s="729"/>
      <c r="O28" s="730" t="e">
        <f t="shared" si="2"/>
        <v>#N/A</v>
      </c>
      <c r="P28" s="731"/>
      <c r="Q28" s="732" t="e">
        <f>VLOOKUP(P28,'Du lieu lien quan'!$C$2:$H$115,2,0)</f>
        <v>#N/A</v>
      </c>
      <c r="R28" s="801" t="s">
        <v>318</v>
      </c>
      <c r="S28" s="802" t="s">
        <v>130</v>
      </c>
      <c r="T28" s="733" t="str">
        <f>VLOOKUP(Y28,'Du lieu lien quan'!$C$2:$H$60,5,0)</f>
        <v>A1</v>
      </c>
      <c r="U28" s="734" t="str">
        <f>VLOOKUP(Y28,'Du lieu lien quan'!$C$2:$H$60,6,0)</f>
        <v>- - -</v>
      </c>
      <c r="V28" s="803" t="s">
        <v>425</v>
      </c>
      <c r="W28" s="804" t="str">
        <f t="shared" si="3"/>
        <v>Giáo viên trung học</v>
      </c>
      <c r="X28" s="805" t="str">
        <f t="shared" si="4"/>
        <v>15.113</v>
      </c>
      <c r="Y28" s="735" t="s">
        <v>313</v>
      </c>
      <c r="Z28" s="735" t="str">
        <f>VLOOKUP(Y28,'Du lieu lien quan'!$C$1:$H$133,2,0)</f>
        <v>15.113</v>
      </c>
      <c r="AA28" s="736" t="str">
        <f t="shared" si="5"/>
        <v>Lương</v>
      </c>
      <c r="AB28" s="737">
        <v>7</v>
      </c>
      <c r="AC28" s="738" t="s">
        <v>360</v>
      </c>
      <c r="AD28" s="739">
        <v>9</v>
      </c>
      <c r="AE28" s="740">
        <f t="shared" si="6"/>
        <v>4.32</v>
      </c>
      <c r="AF28" s="741"/>
      <c r="AG28" s="741"/>
      <c r="AH28" s="742" t="s">
        <v>342</v>
      </c>
      <c r="AI28" s="743" t="s">
        <v>360</v>
      </c>
      <c r="AJ28" s="744" t="s">
        <v>372</v>
      </c>
      <c r="AK28" s="743" t="s">
        <v>360</v>
      </c>
      <c r="AL28" s="745">
        <v>2018</v>
      </c>
      <c r="AM28" s="746"/>
      <c r="AN28" s="747"/>
      <c r="AO28" s="748">
        <f t="shared" si="7"/>
        <v>8</v>
      </c>
      <c r="AP28" s="749" t="str">
        <f t="shared" si="8"/>
        <v>/</v>
      </c>
      <c r="AQ28" s="750">
        <f t="shared" si="9"/>
        <v>9</v>
      </c>
      <c r="AR28" s="751">
        <f t="shared" si="10"/>
        <v>4.6500000000000004</v>
      </c>
      <c r="AS28" s="752"/>
      <c r="AT28" s="753" t="s">
        <v>342</v>
      </c>
      <c r="AU28" s="754" t="s">
        <v>360</v>
      </c>
      <c r="AV28" s="755" t="s">
        <v>372</v>
      </c>
      <c r="AW28" s="754" t="s">
        <v>360</v>
      </c>
      <c r="AX28" s="756">
        <v>2021</v>
      </c>
      <c r="AY28" s="757"/>
      <c r="AZ28" s="758"/>
      <c r="BA28" s="759"/>
      <c r="BB28" s="760">
        <f t="shared" si="11"/>
        <v>3</v>
      </c>
      <c r="BC28" s="761">
        <f t="shared" si="12"/>
        <v>-24262</v>
      </c>
      <c r="BD28" s="761">
        <f>VLOOKUP(Y28,'Du lieu lien quan'!$C$1:$F$60,3,0)</f>
        <v>2.34</v>
      </c>
      <c r="BE28" s="762">
        <f>VLOOKUP(Y28,'Du lieu lien quan'!$C$1:$F$60,4,0)</f>
        <v>0.33</v>
      </c>
      <c r="BF28" s="763" t="e">
        <f t="shared" si="13"/>
        <v>#VALUE!</v>
      </c>
      <c r="BG28" s="878">
        <v>21</v>
      </c>
      <c r="BH28" s="764" t="s">
        <v>333</v>
      </c>
      <c r="BI28" s="765" t="s">
        <v>342</v>
      </c>
      <c r="BJ28" s="2272">
        <v>10</v>
      </c>
      <c r="BK28" s="807" t="s">
        <v>360</v>
      </c>
      <c r="BL28" s="2264">
        <v>2021</v>
      </c>
      <c r="BM28" s="808"/>
      <c r="BN28" s="809"/>
      <c r="BO28" s="767"/>
      <c r="BP28" s="810">
        <f t="shared" si="14"/>
        <v>22</v>
      </c>
      <c r="BQ28" s="811" t="s">
        <v>333</v>
      </c>
      <c r="BR28" s="754" t="s">
        <v>342</v>
      </c>
      <c r="BS28" s="812">
        <v>10</v>
      </c>
      <c r="BT28" s="792" t="s">
        <v>360</v>
      </c>
      <c r="BU28" s="769">
        <v>2022</v>
      </c>
      <c r="BV28" s="769"/>
      <c r="BW28" s="770"/>
      <c r="BX28" s="771"/>
      <c r="BY28" s="762" t="e">
        <f t="shared" si="15"/>
        <v>#VALUE!</v>
      </c>
      <c r="BZ28" s="772" t="str">
        <f t="shared" si="45"/>
        <v>- - -</v>
      </c>
      <c r="CA28" s="773" t="str">
        <f t="shared" si="17"/>
        <v>Chánh Văn phòng Học viện, Trưởng Ban Tổ chức - Cán bộ, Trưởng Khoa Văn bản và Công nghệ hành chính</v>
      </c>
      <c r="CB28" s="774" t="str">
        <f t="shared" si="18"/>
        <v>A</v>
      </c>
      <c r="CC28" s="736" t="str">
        <f t="shared" si="19"/>
        <v>=&gt; s</v>
      </c>
      <c r="CD28" s="720">
        <f t="shared" si="20"/>
        <v>24286</v>
      </c>
      <c r="CE28" s="720" t="str">
        <f t="shared" si="21"/>
        <v>---</v>
      </c>
      <c r="CF28" s="775"/>
      <c r="CG28" s="720"/>
      <c r="CH28" s="776"/>
      <c r="CI28" s="720"/>
      <c r="CJ28" s="777" t="str">
        <f t="shared" si="22"/>
        <v>- - -</v>
      </c>
      <c r="CK28" s="778" t="str">
        <f t="shared" si="23"/>
        <v>- - -</v>
      </c>
      <c r="CL28" s="779"/>
      <c r="CM28" s="778"/>
      <c r="CN28" s="780"/>
      <c r="CO28" s="777"/>
      <c r="CP28" s="778" t="str">
        <f t="shared" si="24"/>
        <v>- - -</v>
      </c>
      <c r="CQ28" s="779"/>
      <c r="CR28" s="778"/>
      <c r="CS28" s="780"/>
      <c r="CT28" s="781"/>
      <c r="CU28" s="782" t="str">
        <f t="shared" si="25"/>
        <v>---</v>
      </c>
      <c r="CV28" s="783" t="str">
        <f t="shared" si="26"/>
        <v>/-/ /-/</v>
      </c>
      <c r="CW28" s="784">
        <f t="shared" si="27"/>
        <v>1</v>
      </c>
      <c r="CX28" s="783">
        <f t="shared" si="28"/>
        <v>2032</v>
      </c>
      <c r="CY28" s="784">
        <f t="shared" si="29"/>
        <v>10</v>
      </c>
      <c r="CZ28" s="783">
        <f t="shared" si="30"/>
        <v>2031</v>
      </c>
      <c r="DA28" s="784">
        <f t="shared" si="31"/>
        <v>7</v>
      </c>
      <c r="DB28" s="785">
        <f t="shared" si="32"/>
        <v>2031</v>
      </c>
      <c r="DC28" s="786" t="str">
        <f t="shared" si="33"/>
        <v>- - -</v>
      </c>
      <c r="DD28" s="786" t="str">
        <f t="shared" si="34"/>
        <v>. .</v>
      </c>
      <c r="DE28" s="736"/>
      <c r="DF28" s="736">
        <f t="shared" si="35"/>
        <v>660</v>
      </c>
      <c r="DG28" s="736">
        <f t="shared" si="36"/>
        <v>-23712</v>
      </c>
      <c r="DH28" s="736">
        <f t="shared" si="37"/>
        <v>-1976</v>
      </c>
      <c r="DI28" s="736" t="str">
        <f t="shared" si="38"/>
        <v>Nữ dưới 30</v>
      </c>
      <c r="DJ28" s="736"/>
      <c r="DK28" s="762"/>
      <c r="DL28" s="778" t="str">
        <f t="shared" si="39"/>
        <v>Đến 30</v>
      </c>
      <c r="DM28" s="787" t="str">
        <f t="shared" si="40"/>
        <v>--</v>
      </c>
      <c r="DN28" s="720"/>
      <c r="DO28" s="788"/>
      <c r="DP28" s="787"/>
      <c r="DQ28" s="780"/>
      <c r="DR28" s="789"/>
      <c r="DS28" s="790"/>
      <c r="DT28" s="791"/>
      <c r="DU28" s="792"/>
      <c r="DV28" s="793"/>
      <c r="DW28" s="753" t="s">
        <v>318</v>
      </c>
      <c r="DX28" s="755" t="s">
        <v>130</v>
      </c>
      <c r="DY28" s="755" t="s">
        <v>318</v>
      </c>
      <c r="DZ28" s="755" t="s">
        <v>342</v>
      </c>
      <c r="EA28" s="794" t="s">
        <v>360</v>
      </c>
      <c r="EB28" s="755" t="s">
        <v>372</v>
      </c>
      <c r="EC28" s="795" t="s">
        <v>360</v>
      </c>
      <c r="ED28" s="753">
        <v>2012</v>
      </c>
      <c r="EE28" s="755">
        <f t="shared" ref="EE28:EE35" si="46">(DZ28+0)-(EG28+0)</f>
        <v>0</v>
      </c>
      <c r="EF28" s="755" t="str">
        <f t="shared" ref="EF28:EF35" si="47">IF(EE28&gt;0,"Sửa","- - -")</f>
        <v>- - -</v>
      </c>
      <c r="EG28" s="755" t="s">
        <v>342</v>
      </c>
      <c r="EH28" s="794" t="s">
        <v>360</v>
      </c>
      <c r="EI28" s="720" t="s">
        <v>372</v>
      </c>
      <c r="EJ28" s="777" t="s">
        <v>360</v>
      </c>
      <c r="EK28" s="796">
        <v>2012</v>
      </c>
      <c r="EL28" s="792"/>
      <c r="EM28" s="797" t="str">
        <f t="shared" si="41"/>
        <v>- - -</v>
      </c>
      <c r="EN28" s="797" t="str">
        <f t="shared" si="42"/>
        <v>---</v>
      </c>
      <c r="EO28" s="797"/>
      <c r="EP28" s="797"/>
      <c r="EQ28" s="797"/>
      <c r="ER28" s="797"/>
      <c r="ES28" s="797"/>
      <c r="ET28" s="797"/>
      <c r="EU28" s="797"/>
      <c r="EV28" s="797"/>
      <c r="EW28" s="797"/>
      <c r="EX28" s="797"/>
      <c r="EY28" s="797"/>
      <c r="EZ28" s="797"/>
      <c r="FA28" s="797"/>
      <c r="FB28" s="797"/>
      <c r="FC28" s="797"/>
      <c r="FD28" s="797"/>
      <c r="FE28" s="797"/>
      <c r="FF28" s="797"/>
      <c r="FG28" s="797"/>
      <c r="FH28" s="797"/>
      <c r="FI28" s="797"/>
      <c r="FJ28" s="797"/>
      <c r="FK28" s="798"/>
      <c r="FL28" s="798"/>
      <c r="FM28" s="798"/>
      <c r="FN28" s="798"/>
      <c r="FO28" s="798"/>
    </row>
    <row r="29" spans="1:171" s="799" customFormat="1" ht="30.75" customHeight="1" x14ac:dyDescent="0.2">
      <c r="A29" s="720">
        <v>464</v>
      </c>
      <c r="B29" s="721">
        <v>16</v>
      </c>
      <c r="C29" s="720"/>
      <c r="D29" s="720" t="str">
        <f t="shared" si="0"/>
        <v>Ông</v>
      </c>
      <c r="E29" s="722" t="s">
        <v>68</v>
      </c>
      <c r="F29" s="720" t="s">
        <v>379</v>
      </c>
      <c r="G29" s="723" t="s">
        <v>17</v>
      </c>
      <c r="H29" s="724" t="s">
        <v>360</v>
      </c>
      <c r="I29" s="725" t="s">
        <v>344</v>
      </c>
      <c r="J29" s="724" t="s">
        <v>360</v>
      </c>
      <c r="K29" s="726">
        <v>1967</v>
      </c>
      <c r="L29" s="727" t="s">
        <v>452</v>
      </c>
      <c r="M29" s="728" t="str">
        <f t="shared" si="1"/>
        <v>VC</v>
      </c>
      <c r="N29" s="729"/>
      <c r="O29" s="730" t="e">
        <f t="shared" si="2"/>
        <v>#N/A</v>
      </c>
      <c r="P29" s="731"/>
      <c r="Q29" s="732" t="e">
        <f>VLOOKUP(P29,'[1]- DLiêu Gốc (Không sửa)'!$C$2:$H$116,2,0)</f>
        <v>#N/A</v>
      </c>
      <c r="R29" s="801" t="s">
        <v>587</v>
      </c>
      <c r="S29" s="802" t="s">
        <v>130</v>
      </c>
      <c r="T29" s="733" t="str">
        <f>VLOOKUP(Y29,'Du lieu lien quan'!$C$2:$H$60,5,0)</f>
        <v>A2</v>
      </c>
      <c r="U29" s="734" t="str">
        <f>VLOOKUP(Y29,'Du lieu lien quan'!$C$2:$H$60,6,0)</f>
        <v>A2.1</v>
      </c>
      <c r="V29" s="803" t="s">
        <v>424</v>
      </c>
      <c r="W29" s="804" t="str">
        <f t="shared" si="3"/>
        <v>Giảng viên chính (hạng II)</v>
      </c>
      <c r="X29" s="805" t="str">
        <f t="shared" si="4"/>
        <v>V.07.01.02</v>
      </c>
      <c r="Y29" s="735" t="s">
        <v>431</v>
      </c>
      <c r="Z29" s="735" t="str">
        <f>VLOOKUP(Y29,'Du lieu lien quan'!$C$1:$H$133,2,0)</f>
        <v>V.07.01.02</v>
      </c>
      <c r="AA29" s="736" t="str">
        <f t="shared" si="5"/>
        <v>Lương</v>
      </c>
      <c r="AB29" s="737">
        <v>7</v>
      </c>
      <c r="AC29" s="738" t="s">
        <v>360</v>
      </c>
      <c r="AD29" s="739">
        <v>8</v>
      </c>
      <c r="AE29" s="740">
        <f t="shared" si="6"/>
        <v>6.44</v>
      </c>
      <c r="AF29" s="741"/>
      <c r="AG29" s="741"/>
      <c r="AH29" s="742" t="s">
        <v>342</v>
      </c>
      <c r="AI29" s="743" t="s">
        <v>360</v>
      </c>
      <c r="AJ29" s="744" t="s">
        <v>17</v>
      </c>
      <c r="AK29" s="743" t="s">
        <v>360</v>
      </c>
      <c r="AL29" s="745">
        <v>2019</v>
      </c>
      <c r="AM29" s="746"/>
      <c r="AN29" s="747"/>
      <c r="AO29" s="748">
        <f t="shared" si="7"/>
        <v>8</v>
      </c>
      <c r="AP29" s="749" t="str">
        <f t="shared" si="8"/>
        <v>/</v>
      </c>
      <c r="AQ29" s="750">
        <f t="shared" si="9"/>
        <v>8</v>
      </c>
      <c r="AR29" s="751">
        <f t="shared" si="10"/>
        <v>6.78</v>
      </c>
      <c r="AS29" s="752"/>
      <c r="AT29" s="753" t="s">
        <v>342</v>
      </c>
      <c r="AU29" s="754" t="s">
        <v>360</v>
      </c>
      <c r="AV29" s="755" t="s">
        <v>17</v>
      </c>
      <c r="AW29" s="754" t="s">
        <v>360</v>
      </c>
      <c r="AX29" s="756">
        <v>2022</v>
      </c>
      <c r="AY29" s="757"/>
      <c r="AZ29" s="758"/>
      <c r="BA29" s="759"/>
      <c r="BB29" s="760">
        <f t="shared" si="11"/>
        <v>3</v>
      </c>
      <c r="BC29" s="761">
        <f t="shared" si="12"/>
        <v>-24270</v>
      </c>
      <c r="BD29" s="761">
        <f>VLOOKUP(Y29,'Du lieu lien quan'!$C$1:$F$60,3,0)</f>
        <v>4.4000000000000004</v>
      </c>
      <c r="BE29" s="762">
        <f>VLOOKUP(Y29,'Du lieu lien quan'!$C$1:$F$60,4,0)</f>
        <v>0.34</v>
      </c>
      <c r="BF29" s="763" t="e">
        <f t="shared" si="13"/>
        <v>#VALUE!</v>
      </c>
      <c r="BG29" s="878">
        <v>36</v>
      </c>
      <c r="BH29" s="764" t="s">
        <v>333</v>
      </c>
      <c r="BI29" s="765" t="s">
        <v>342</v>
      </c>
      <c r="BJ29" s="2272">
        <v>10</v>
      </c>
      <c r="BK29" s="807" t="s">
        <v>360</v>
      </c>
      <c r="BL29" s="2264">
        <v>2021</v>
      </c>
      <c r="BM29" s="808"/>
      <c r="BN29" s="809"/>
      <c r="BO29" s="767"/>
      <c r="BP29" s="810">
        <f t="shared" si="14"/>
        <v>37</v>
      </c>
      <c r="BQ29" s="811" t="s">
        <v>333</v>
      </c>
      <c r="BR29" s="754" t="s">
        <v>342</v>
      </c>
      <c r="BS29" s="812">
        <v>10</v>
      </c>
      <c r="BT29" s="792" t="s">
        <v>360</v>
      </c>
      <c r="BU29" s="769">
        <v>2022</v>
      </c>
      <c r="BV29" s="769"/>
      <c r="BW29" s="770"/>
      <c r="BX29" s="771"/>
      <c r="BY29" s="762" t="e">
        <f t="shared" si="15"/>
        <v>#VALUE!</v>
      </c>
      <c r="BZ29" s="772" t="str">
        <f t="shared" si="45"/>
        <v>- - -</v>
      </c>
      <c r="CA29" s="773" t="str">
        <f t="shared" si="17"/>
        <v>Chánh Văn phòng Học viện, Trưởng Ban Tổ chức - Cán bộ, Trưởng Khoa Văn bản và Công nghệ hành chính</v>
      </c>
      <c r="CB29" s="774" t="str">
        <f t="shared" si="18"/>
        <v>A</v>
      </c>
      <c r="CC29" s="736" t="str">
        <f t="shared" si="19"/>
        <v>=&gt; s</v>
      </c>
      <c r="CD29" s="720">
        <f t="shared" si="20"/>
        <v>24294</v>
      </c>
      <c r="CE29" s="720" t="str">
        <f t="shared" si="21"/>
        <v>S</v>
      </c>
      <c r="CF29" s="775">
        <v>2013</v>
      </c>
      <c r="CG29" s="720" t="s">
        <v>428</v>
      </c>
      <c r="CH29" s="776"/>
      <c r="CI29" s="720"/>
      <c r="CJ29" s="777" t="str">
        <f t="shared" si="22"/>
        <v>Cùg Ng</v>
      </c>
      <c r="CK29" s="778" t="str">
        <f t="shared" si="23"/>
        <v>NN</v>
      </c>
      <c r="CL29" s="779">
        <v>1</v>
      </c>
      <c r="CM29" s="778">
        <v>2011</v>
      </c>
      <c r="CN29" s="780"/>
      <c r="CO29" s="777"/>
      <c r="CP29" s="778" t="str">
        <f t="shared" si="24"/>
        <v>- - -</v>
      </c>
      <c r="CQ29" s="779"/>
      <c r="CR29" s="778"/>
      <c r="CS29" s="780"/>
      <c r="CT29" s="781"/>
      <c r="CU29" s="782" t="str">
        <f t="shared" si="25"/>
        <v>---</v>
      </c>
      <c r="CV29" s="783" t="str">
        <f t="shared" si="26"/>
        <v>/-/ /-/</v>
      </c>
      <c r="CW29" s="784">
        <f t="shared" si="27"/>
        <v>6</v>
      </c>
      <c r="CX29" s="783">
        <f t="shared" si="28"/>
        <v>2027</v>
      </c>
      <c r="CY29" s="784">
        <f t="shared" si="29"/>
        <v>3</v>
      </c>
      <c r="CZ29" s="783">
        <f t="shared" si="30"/>
        <v>2027</v>
      </c>
      <c r="DA29" s="784">
        <f t="shared" si="31"/>
        <v>12</v>
      </c>
      <c r="DB29" s="785">
        <f t="shared" si="32"/>
        <v>2026</v>
      </c>
      <c r="DC29" s="786" t="str">
        <f t="shared" si="33"/>
        <v>- - -</v>
      </c>
      <c r="DD29" s="786" t="str">
        <f t="shared" si="34"/>
        <v>. .</v>
      </c>
      <c r="DE29" s="736"/>
      <c r="DF29" s="736">
        <f t="shared" si="35"/>
        <v>720</v>
      </c>
      <c r="DG29" s="736">
        <f t="shared" si="36"/>
        <v>-23597</v>
      </c>
      <c r="DH29" s="736">
        <f t="shared" si="37"/>
        <v>-1967</v>
      </c>
      <c r="DI29" s="736" t="str">
        <f t="shared" si="38"/>
        <v>Nam dưới 35</v>
      </c>
      <c r="DJ29" s="736"/>
      <c r="DK29" s="762"/>
      <c r="DL29" s="778" t="str">
        <f t="shared" si="39"/>
        <v>Đến 30</v>
      </c>
      <c r="DM29" s="787" t="str">
        <f t="shared" si="40"/>
        <v>--</v>
      </c>
      <c r="DN29" s="720"/>
      <c r="DO29" s="788"/>
      <c r="DP29" s="787"/>
      <c r="DQ29" s="780"/>
      <c r="DR29" s="789"/>
      <c r="DS29" s="790"/>
      <c r="DT29" s="791"/>
      <c r="DU29" s="792"/>
      <c r="DV29" s="793"/>
      <c r="DW29" s="753"/>
      <c r="DX29" s="755" t="s">
        <v>363</v>
      </c>
      <c r="DY29" s="755"/>
      <c r="DZ29" s="755" t="s">
        <v>342</v>
      </c>
      <c r="EA29" s="794" t="s">
        <v>360</v>
      </c>
      <c r="EB29" s="755">
        <v>6</v>
      </c>
      <c r="EC29" s="795" t="s">
        <v>360</v>
      </c>
      <c r="ED29" s="753">
        <v>2013</v>
      </c>
      <c r="EE29" s="755">
        <f t="shared" si="46"/>
        <v>0</v>
      </c>
      <c r="EF29" s="755" t="str">
        <f t="shared" si="47"/>
        <v>- - -</v>
      </c>
      <c r="EG29" s="755" t="s">
        <v>342</v>
      </c>
      <c r="EH29" s="794" t="s">
        <v>360</v>
      </c>
      <c r="EI29" s="720">
        <v>6</v>
      </c>
      <c r="EJ29" s="777" t="s">
        <v>360</v>
      </c>
      <c r="EK29" s="796">
        <v>2013</v>
      </c>
      <c r="EL29" s="792">
        <v>5.2788000000000004</v>
      </c>
      <c r="EM29" s="797" t="str">
        <f t="shared" si="41"/>
        <v>- - -</v>
      </c>
      <c r="EN29" s="797" t="str">
        <f t="shared" si="42"/>
        <v>---</v>
      </c>
      <c r="EO29" s="797"/>
      <c r="EP29" s="797"/>
      <c r="EQ29" s="797"/>
      <c r="ER29" s="797"/>
      <c r="ES29" s="797"/>
      <c r="ET29" s="797"/>
      <c r="EU29" s="797"/>
      <c r="EV29" s="797"/>
      <c r="EW29" s="797"/>
      <c r="EX29" s="797"/>
      <c r="EY29" s="797"/>
      <c r="EZ29" s="797"/>
      <c r="FA29" s="797"/>
      <c r="FB29" s="797"/>
      <c r="FC29" s="797"/>
      <c r="FD29" s="797"/>
      <c r="FE29" s="797"/>
      <c r="FF29" s="797"/>
      <c r="FG29" s="797"/>
      <c r="FH29" s="797"/>
      <c r="FI29" s="797"/>
      <c r="FJ29" s="797"/>
      <c r="FK29" s="798"/>
      <c r="FL29" s="798"/>
      <c r="FM29" s="798"/>
      <c r="FN29" s="798"/>
      <c r="FO29" s="798"/>
    </row>
    <row r="30" spans="1:171" s="799" customFormat="1" ht="30.75" customHeight="1" x14ac:dyDescent="0.2">
      <c r="A30" s="720">
        <v>473</v>
      </c>
      <c r="B30" s="721">
        <v>17</v>
      </c>
      <c r="C30" s="720"/>
      <c r="D30" s="720" t="str">
        <f t="shared" si="0"/>
        <v>Ông</v>
      </c>
      <c r="E30" s="722" t="s">
        <v>265</v>
      </c>
      <c r="F30" s="720" t="s">
        <v>379</v>
      </c>
      <c r="G30" s="723" t="s">
        <v>383</v>
      </c>
      <c r="H30" s="724" t="s">
        <v>360</v>
      </c>
      <c r="I30" s="725" t="s">
        <v>344</v>
      </c>
      <c r="J30" s="724" t="s">
        <v>360</v>
      </c>
      <c r="K30" s="726" t="s">
        <v>28</v>
      </c>
      <c r="L30" s="727" t="s">
        <v>452</v>
      </c>
      <c r="M30" s="728" t="str">
        <f t="shared" si="1"/>
        <v>VC</v>
      </c>
      <c r="N30" s="729"/>
      <c r="O30" s="730" t="e">
        <f t="shared" si="2"/>
        <v>#VALUE!</v>
      </c>
      <c r="P30" s="731" t="s">
        <v>641</v>
      </c>
      <c r="Q30" s="732" t="str">
        <f>VLOOKUP(P30,'[1]- DLiêu Gốc (Không sửa)'!$C$2:$H$116,2,0)</f>
        <v>1,0</v>
      </c>
      <c r="R30" s="801"/>
      <c r="S30" s="802" t="s">
        <v>562</v>
      </c>
      <c r="T30" s="733" t="str">
        <f>VLOOKUP(Y30,'Du lieu lien quan'!$C$2:$H$60,5,0)</f>
        <v>A2</v>
      </c>
      <c r="U30" s="734" t="str">
        <f>VLOOKUP(Y30,'Du lieu lien quan'!$C$2:$H$60,6,0)</f>
        <v>A2.1</v>
      </c>
      <c r="V30" s="803" t="s">
        <v>424</v>
      </c>
      <c r="W30" s="804" t="str">
        <f t="shared" si="3"/>
        <v>Giảng viên chính (hạng II)</v>
      </c>
      <c r="X30" s="805" t="str">
        <f t="shared" si="4"/>
        <v>V.07.01.02</v>
      </c>
      <c r="Y30" s="735" t="s">
        <v>431</v>
      </c>
      <c r="Z30" s="735" t="str">
        <f>VLOOKUP(Y30,'Du lieu lien quan'!$C$1:$H$133,2,0)</f>
        <v>V.07.01.02</v>
      </c>
      <c r="AA30" s="736" t="str">
        <f t="shared" si="5"/>
        <v>Lương</v>
      </c>
      <c r="AB30" s="737">
        <v>1</v>
      </c>
      <c r="AC30" s="738" t="str">
        <f>IF(AD30&gt;0,"/")</f>
        <v>/</v>
      </c>
      <c r="AD30" s="739">
        <f>IF(OR(BE30=0.18,BE30=0.2),12,IF(BE30=0.31,10,IF(BE30=0.33,9,IF(BE30=0.34,8,IF(BE30=0.36,6)))))</f>
        <v>8</v>
      </c>
      <c r="AE30" s="740">
        <f t="shared" si="6"/>
        <v>4.4000000000000004</v>
      </c>
      <c r="AF30" s="741"/>
      <c r="AG30" s="741"/>
      <c r="AH30" s="742"/>
      <c r="AI30" s="743" t="s">
        <v>360</v>
      </c>
      <c r="AJ30" s="744"/>
      <c r="AK30" s="743" t="s">
        <v>360</v>
      </c>
      <c r="AL30" s="745"/>
      <c r="AM30" s="746"/>
      <c r="AN30" s="747"/>
      <c r="AO30" s="748">
        <f t="shared" si="7"/>
        <v>2</v>
      </c>
      <c r="AP30" s="749" t="str">
        <f t="shared" si="8"/>
        <v>/</v>
      </c>
      <c r="AQ30" s="750">
        <f t="shared" si="9"/>
        <v>8</v>
      </c>
      <c r="AR30" s="751">
        <f t="shared" si="10"/>
        <v>4.74</v>
      </c>
      <c r="AS30" s="752"/>
      <c r="AT30" s="753" t="s">
        <v>342</v>
      </c>
      <c r="AU30" s="754" t="s">
        <v>360</v>
      </c>
      <c r="AV30" s="755" t="s">
        <v>342</v>
      </c>
      <c r="AW30" s="754" t="s">
        <v>360</v>
      </c>
      <c r="AX30" s="756">
        <v>2021</v>
      </c>
      <c r="AY30" s="757"/>
      <c r="AZ30" s="758" t="s">
        <v>642</v>
      </c>
      <c r="BA30" s="759"/>
      <c r="BB30" s="760">
        <f t="shared" si="11"/>
        <v>3</v>
      </c>
      <c r="BC30" s="761">
        <f t="shared" si="12"/>
        <v>-24253</v>
      </c>
      <c r="BD30" s="761">
        <f>VLOOKUP(Y30,'Du lieu lien quan'!$C$1:$F$60,3,0)</f>
        <v>4.4000000000000004</v>
      </c>
      <c r="BE30" s="762">
        <f>VLOOKUP(Y30,'Du lieu lien quan'!$C$1:$F$60,4,0)</f>
        <v>0.34</v>
      </c>
      <c r="BF30" s="763" t="e">
        <f t="shared" si="13"/>
        <v>#VALUE!</v>
      </c>
      <c r="BG30" s="878">
        <v>23</v>
      </c>
      <c r="BH30" s="764" t="s">
        <v>333</v>
      </c>
      <c r="BI30" s="765" t="s">
        <v>342</v>
      </c>
      <c r="BJ30" s="2272">
        <v>10</v>
      </c>
      <c r="BK30" s="807" t="s">
        <v>360</v>
      </c>
      <c r="BL30" s="2264">
        <v>2021</v>
      </c>
      <c r="BM30" s="808"/>
      <c r="BN30" s="809"/>
      <c r="BO30" s="767"/>
      <c r="BP30" s="810">
        <f t="shared" si="14"/>
        <v>24</v>
      </c>
      <c r="BQ30" s="811" t="s">
        <v>333</v>
      </c>
      <c r="BR30" s="754" t="s">
        <v>342</v>
      </c>
      <c r="BS30" s="812">
        <v>10</v>
      </c>
      <c r="BT30" s="792" t="s">
        <v>360</v>
      </c>
      <c r="BU30" s="769">
        <v>2022</v>
      </c>
      <c r="BV30" s="769"/>
      <c r="BW30" s="770"/>
      <c r="BX30" s="771"/>
      <c r="BY30" s="762" t="e">
        <f t="shared" si="15"/>
        <v>#VALUE!</v>
      </c>
      <c r="BZ30" s="772" t="str">
        <f t="shared" si="45"/>
        <v>- - -</v>
      </c>
      <c r="CA30" s="773" t="str">
        <f t="shared" si="17"/>
        <v>Chánh Văn phòng Học viện, Trưởng Ban Tổ chức - Cán bộ, Trưởng Ban Tổ chức cán bộ</v>
      </c>
      <c r="CB30" s="774" t="str">
        <f t="shared" si="18"/>
        <v>A</v>
      </c>
      <c r="CC30" s="736" t="str">
        <f t="shared" si="19"/>
        <v>=&gt; s</v>
      </c>
      <c r="CD30" s="720">
        <f t="shared" si="20"/>
        <v>24277</v>
      </c>
      <c r="CE30" s="720" t="str">
        <f t="shared" si="21"/>
        <v>S</v>
      </c>
      <c r="CF30" s="775">
        <v>2017</v>
      </c>
      <c r="CG30" s="720" t="s">
        <v>426</v>
      </c>
      <c r="CH30" s="776"/>
      <c r="CI30" s="720"/>
      <c r="CJ30" s="777" t="str">
        <f t="shared" si="22"/>
        <v>- - -</v>
      </c>
      <c r="CK30" s="778" t="str">
        <f t="shared" si="23"/>
        <v>- - -</v>
      </c>
      <c r="CL30" s="779"/>
      <c r="CM30" s="778"/>
      <c r="CN30" s="780"/>
      <c r="CO30" s="777"/>
      <c r="CP30" s="778" t="str">
        <f t="shared" si="24"/>
        <v>- - -</v>
      </c>
      <c r="CQ30" s="779"/>
      <c r="CR30" s="778"/>
      <c r="CS30" s="780"/>
      <c r="CT30" s="781"/>
      <c r="CU30" s="782" t="str">
        <f t="shared" si="25"/>
        <v>---</v>
      </c>
      <c r="CV30" s="783" t="str">
        <f t="shared" si="26"/>
        <v>/-/ /-/</v>
      </c>
      <c r="CW30" s="784">
        <f t="shared" si="27"/>
        <v>6</v>
      </c>
      <c r="CX30" s="783">
        <f t="shared" si="28"/>
        <v>2035</v>
      </c>
      <c r="CY30" s="784">
        <f t="shared" si="29"/>
        <v>3</v>
      </c>
      <c r="CZ30" s="783">
        <f t="shared" si="30"/>
        <v>2035</v>
      </c>
      <c r="DA30" s="784">
        <f t="shared" si="31"/>
        <v>12</v>
      </c>
      <c r="DB30" s="785">
        <f t="shared" si="32"/>
        <v>2034</v>
      </c>
      <c r="DC30" s="786" t="str">
        <f t="shared" si="33"/>
        <v>- - -</v>
      </c>
      <c r="DD30" s="786" t="str">
        <f t="shared" si="34"/>
        <v>. .</v>
      </c>
      <c r="DE30" s="736"/>
      <c r="DF30" s="736">
        <f t="shared" si="35"/>
        <v>720</v>
      </c>
      <c r="DG30" s="736">
        <f t="shared" si="36"/>
        <v>-23693</v>
      </c>
      <c r="DH30" s="736">
        <f t="shared" si="37"/>
        <v>-1975</v>
      </c>
      <c r="DI30" s="736" t="str">
        <f t="shared" si="38"/>
        <v>Nam dưới 35</v>
      </c>
      <c r="DJ30" s="736"/>
      <c r="DK30" s="762"/>
      <c r="DL30" s="778" t="str">
        <f t="shared" si="39"/>
        <v>Đến 30</v>
      </c>
      <c r="DM30" s="787" t="str">
        <f t="shared" si="40"/>
        <v>--</v>
      </c>
      <c r="DN30" s="720"/>
      <c r="DO30" s="788"/>
      <c r="DP30" s="787"/>
      <c r="DQ30" s="780"/>
      <c r="DR30" s="789"/>
      <c r="DS30" s="790"/>
      <c r="DT30" s="791"/>
      <c r="DU30" s="792" t="s">
        <v>409</v>
      </c>
      <c r="DV30" s="793" t="s">
        <v>266</v>
      </c>
      <c r="DW30" s="753"/>
      <c r="DX30" s="755" t="s">
        <v>419</v>
      </c>
      <c r="DY30" s="755" t="s">
        <v>337</v>
      </c>
      <c r="DZ30" s="755" t="s">
        <v>342</v>
      </c>
      <c r="EA30" s="794" t="s">
        <v>360</v>
      </c>
      <c r="EB30" s="755" t="s">
        <v>372</v>
      </c>
      <c r="EC30" s="795" t="s">
        <v>360</v>
      </c>
      <c r="ED30" s="753">
        <v>2012</v>
      </c>
      <c r="EE30" s="755">
        <f t="shared" si="46"/>
        <v>0</v>
      </c>
      <c r="EF30" s="755" t="str">
        <f t="shared" si="47"/>
        <v>- - -</v>
      </c>
      <c r="EG30" s="755" t="s">
        <v>342</v>
      </c>
      <c r="EH30" s="794" t="s">
        <v>360</v>
      </c>
      <c r="EI30" s="720" t="s">
        <v>372</v>
      </c>
      <c r="EJ30" s="777" t="s">
        <v>360</v>
      </c>
      <c r="EK30" s="796">
        <v>2012</v>
      </c>
      <c r="EL30" s="792"/>
      <c r="EM30" s="797" t="str">
        <f t="shared" si="41"/>
        <v>- - -</v>
      </c>
      <c r="EN30" s="797" t="str">
        <f t="shared" si="42"/>
        <v>---</v>
      </c>
      <c r="EO30" s="797"/>
      <c r="EP30" s="797"/>
      <c r="EQ30" s="797"/>
      <c r="ER30" s="797"/>
      <c r="ES30" s="797"/>
      <c r="ET30" s="797"/>
      <c r="EU30" s="797"/>
      <c r="EV30" s="797"/>
      <c r="EW30" s="797"/>
      <c r="EX30" s="797"/>
      <c r="EY30" s="797"/>
      <c r="EZ30" s="797"/>
      <c r="FA30" s="797"/>
      <c r="FB30" s="797"/>
      <c r="FC30" s="797"/>
      <c r="FD30" s="797"/>
      <c r="FE30" s="797"/>
      <c r="FF30" s="797"/>
      <c r="FG30" s="797"/>
      <c r="FH30" s="797"/>
      <c r="FI30" s="797"/>
      <c r="FJ30" s="797"/>
      <c r="FK30" s="798"/>
      <c r="FL30" s="798"/>
      <c r="FM30" s="798"/>
      <c r="FN30" s="798"/>
      <c r="FO30" s="798"/>
    </row>
    <row r="31" spans="1:171" s="799" customFormat="1" ht="30.75" customHeight="1" x14ac:dyDescent="0.2">
      <c r="A31" s="720">
        <v>6</v>
      </c>
      <c r="B31" s="721">
        <v>18</v>
      </c>
      <c r="C31" s="720"/>
      <c r="D31" s="720" t="str">
        <f t="shared" si="0"/>
        <v>Bà</v>
      </c>
      <c r="E31" s="722" t="s">
        <v>60</v>
      </c>
      <c r="F31" s="720" t="s">
        <v>381</v>
      </c>
      <c r="G31" s="723" t="s">
        <v>276</v>
      </c>
      <c r="H31" s="724" t="s">
        <v>360</v>
      </c>
      <c r="I31" s="725" t="s">
        <v>343</v>
      </c>
      <c r="J31" s="724" t="s">
        <v>360</v>
      </c>
      <c r="K31" s="726">
        <v>1973</v>
      </c>
      <c r="L31" s="727" t="s">
        <v>452</v>
      </c>
      <c r="M31" s="728" t="str">
        <f t="shared" si="1"/>
        <v>VC</v>
      </c>
      <c r="N31" s="729"/>
      <c r="O31" s="730" t="e">
        <f t="shared" si="2"/>
        <v>#N/A</v>
      </c>
      <c r="P31" s="731"/>
      <c r="Q31" s="732" t="e">
        <f>VLOOKUP(P31,'Du lieu lien quan'!$C$2:$H$115,2,0)</f>
        <v>#N/A</v>
      </c>
      <c r="R31" s="801" t="s">
        <v>565</v>
      </c>
      <c r="S31" s="802" t="s">
        <v>127</v>
      </c>
      <c r="T31" s="733" t="str">
        <f>VLOOKUP(Y31,'Du lieu lien quan'!$C$2:$H$60,5,0)</f>
        <v>A1</v>
      </c>
      <c r="U31" s="734" t="str">
        <f>VLOOKUP(Y31,'Du lieu lien quan'!$C$2:$H$60,6,0)</f>
        <v>- - -</v>
      </c>
      <c r="V31" s="803" t="s">
        <v>424</v>
      </c>
      <c r="W31" s="804" t="str">
        <f t="shared" si="3"/>
        <v>Giảng viên (hạng III)</v>
      </c>
      <c r="X31" s="805" t="str">
        <f t="shared" si="4"/>
        <v>V.07.01.03</v>
      </c>
      <c r="Y31" s="735" t="s">
        <v>430</v>
      </c>
      <c r="Z31" s="735" t="str">
        <f>VLOOKUP(Y31,'Du lieu lien quan'!$C$1:$H$133,2,0)</f>
        <v>V.07.01.03</v>
      </c>
      <c r="AA31" s="736" t="str">
        <f t="shared" si="5"/>
        <v>Lương</v>
      </c>
      <c r="AB31" s="737">
        <v>5</v>
      </c>
      <c r="AC31" s="738" t="str">
        <f>IF(AD31&gt;0,"/")</f>
        <v>/</v>
      </c>
      <c r="AD31" s="739">
        <f>IF(OR(BE31=0.18,BE31=0.2),12,IF(BE31=0.31,10,IF(BE31=0.33,9,IF(BE31=0.34,8,IF(BE31=0.36,6)))))</f>
        <v>9</v>
      </c>
      <c r="AE31" s="740">
        <f t="shared" si="6"/>
        <v>3.66</v>
      </c>
      <c r="AF31" s="741"/>
      <c r="AG31" s="741"/>
      <c r="AH31" s="742"/>
      <c r="AI31" s="743" t="s">
        <v>360</v>
      </c>
      <c r="AJ31" s="744"/>
      <c r="AK31" s="743" t="s">
        <v>360</v>
      </c>
      <c r="AL31" s="745"/>
      <c r="AM31" s="746"/>
      <c r="AN31" s="747"/>
      <c r="AO31" s="748">
        <f t="shared" si="7"/>
        <v>6</v>
      </c>
      <c r="AP31" s="749" t="str">
        <f t="shared" si="8"/>
        <v>/</v>
      </c>
      <c r="AQ31" s="750">
        <f t="shared" si="9"/>
        <v>9</v>
      </c>
      <c r="AR31" s="751">
        <f t="shared" si="10"/>
        <v>3.99</v>
      </c>
      <c r="AS31" s="752"/>
      <c r="AT31" s="753" t="s">
        <v>342</v>
      </c>
      <c r="AU31" s="754" t="s">
        <v>360</v>
      </c>
      <c r="AV31" s="755" t="s">
        <v>372</v>
      </c>
      <c r="AW31" s="754" t="s">
        <v>360</v>
      </c>
      <c r="AX31" s="756">
        <v>2020</v>
      </c>
      <c r="AY31" s="757"/>
      <c r="AZ31" s="758"/>
      <c r="BA31" s="759"/>
      <c r="BB31" s="760">
        <f t="shared" si="11"/>
        <v>3</v>
      </c>
      <c r="BC31" s="761">
        <f t="shared" si="12"/>
        <v>-24250</v>
      </c>
      <c r="BD31" s="761">
        <f>VLOOKUP(Y31,'Du lieu lien quan'!$C$1:$F$60,3,0)</f>
        <v>2.34</v>
      </c>
      <c r="BE31" s="762">
        <f>VLOOKUP(Y31,'Du lieu lien quan'!$C$1:$F$60,4,0)</f>
        <v>0.33</v>
      </c>
      <c r="BF31" s="763" t="e">
        <f t="shared" si="13"/>
        <v>#VALUE!</v>
      </c>
      <c r="BG31" s="878">
        <v>16</v>
      </c>
      <c r="BH31" s="764" t="s">
        <v>333</v>
      </c>
      <c r="BI31" s="765" t="s">
        <v>342</v>
      </c>
      <c r="BJ31" s="2272">
        <v>10</v>
      </c>
      <c r="BK31" s="807" t="s">
        <v>360</v>
      </c>
      <c r="BL31" s="2264">
        <v>2021</v>
      </c>
      <c r="BM31" s="808"/>
      <c r="BN31" s="809"/>
      <c r="BO31" s="767"/>
      <c r="BP31" s="810">
        <f t="shared" si="14"/>
        <v>17</v>
      </c>
      <c r="BQ31" s="811" t="s">
        <v>333</v>
      </c>
      <c r="BR31" s="754" t="s">
        <v>342</v>
      </c>
      <c r="BS31" s="812">
        <v>10</v>
      </c>
      <c r="BT31" s="792" t="s">
        <v>360</v>
      </c>
      <c r="BU31" s="769">
        <v>2022</v>
      </c>
      <c r="BV31" s="769"/>
      <c r="BW31" s="770"/>
      <c r="BX31" s="771"/>
      <c r="BY31" s="762" t="e">
        <f t="shared" si="15"/>
        <v>#VALUE!</v>
      </c>
      <c r="BZ31" s="772" t="str">
        <f t="shared" si="45"/>
        <v>- - -</v>
      </c>
      <c r="CA31" s="773" t="str">
        <f t="shared" si="17"/>
        <v>Chánh Văn phòng Học viện, Trưởng Ban Tổ chức - Cán bộ, Trưởng Ban Hợp tác quốc tế</v>
      </c>
      <c r="CB31" s="774" t="str">
        <f t="shared" si="18"/>
        <v>A</v>
      </c>
      <c r="CC31" s="736" t="str">
        <f t="shared" si="19"/>
        <v>=&gt; s</v>
      </c>
      <c r="CD31" s="720">
        <f t="shared" si="20"/>
        <v>24274</v>
      </c>
      <c r="CE31" s="720" t="str">
        <f t="shared" si="21"/>
        <v>---</v>
      </c>
      <c r="CF31" s="775"/>
      <c r="CG31" s="720"/>
      <c r="CH31" s="776"/>
      <c r="CI31" s="720"/>
      <c r="CJ31" s="777" t="str">
        <f t="shared" si="22"/>
        <v>- - -</v>
      </c>
      <c r="CK31" s="778" t="str">
        <f t="shared" si="23"/>
        <v>- - -</v>
      </c>
      <c r="CL31" s="779"/>
      <c r="CM31" s="778"/>
      <c r="CN31" s="780"/>
      <c r="CO31" s="777"/>
      <c r="CP31" s="778" t="str">
        <f t="shared" si="24"/>
        <v>- - -</v>
      </c>
      <c r="CQ31" s="779"/>
      <c r="CR31" s="778"/>
      <c r="CS31" s="780"/>
      <c r="CT31" s="781"/>
      <c r="CU31" s="782" t="str">
        <f t="shared" si="25"/>
        <v>---</v>
      </c>
      <c r="CV31" s="783" t="str">
        <f t="shared" si="26"/>
        <v>/-/ /-/</v>
      </c>
      <c r="CW31" s="784">
        <f t="shared" si="27"/>
        <v>3</v>
      </c>
      <c r="CX31" s="783">
        <f t="shared" si="28"/>
        <v>2028</v>
      </c>
      <c r="CY31" s="784">
        <f t="shared" si="29"/>
        <v>12</v>
      </c>
      <c r="CZ31" s="783">
        <f t="shared" si="30"/>
        <v>2027</v>
      </c>
      <c r="DA31" s="784">
        <f t="shared" si="31"/>
        <v>9</v>
      </c>
      <c r="DB31" s="785">
        <f t="shared" si="32"/>
        <v>2027</v>
      </c>
      <c r="DC31" s="786" t="str">
        <f t="shared" si="33"/>
        <v>- - -</v>
      </c>
      <c r="DD31" s="786" t="str">
        <f t="shared" si="34"/>
        <v>. .</v>
      </c>
      <c r="DE31" s="736"/>
      <c r="DF31" s="736">
        <f t="shared" si="35"/>
        <v>660</v>
      </c>
      <c r="DG31" s="736">
        <f t="shared" si="36"/>
        <v>-23666</v>
      </c>
      <c r="DH31" s="736">
        <f t="shared" si="37"/>
        <v>-1973</v>
      </c>
      <c r="DI31" s="736" t="str">
        <f t="shared" si="38"/>
        <v>Nữ dưới 30</v>
      </c>
      <c r="DJ31" s="736"/>
      <c r="DK31" s="762"/>
      <c r="DL31" s="778" t="str">
        <f t="shared" si="39"/>
        <v>Đến 30</v>
      </c>
      <c r="DM31" s="787" t="str">
        <f t="shared" si="40"/>
        <v>TD</v>
      </c>
      <c r="DN31" s="720">
        <v>2012</v>
      </c>
      <c r="DO31" s="788"/>
      <c r="DP31" s="787"/>
      <c r="DQ31" s="780"/>
      <c r="DR31" s="789"/>
      <c r="DS31" s="790"/>
      <c r="DT31" s="791"/>
      <c r="DU31" s="792"/>
      <c r="DV31" s="793"/>
      <c r="DW31" s="753" t="s">
        <v>128</v>
      </c>
      <c r="DX31" s="755" t="s">
        <v>127</v>
      </c>
      <c r="DY31" s="755" t="s">
        <v>128</v>
      </c>
      <c r="DZ31" s="755" t="s">
        <v>342</v>
      </c>
      <c r="EA31" s="794" t="s">
        <v>360</v>
      </c>
      <c r="EB31" s="755" t="s">
        <v>372</v>
      </c>
      <c r="EC31" s="795" t="s">
        <v>360</v>
      </c>
      <c r="ED31" s="753" t="s">
        <v>364</v>
      </c>
      <c r="EE31" s="755">
        <f t="shared" si="46"/>
        <v>0</v>
      </c>
      <c r="EF31" s="755" t="str">
        <f t="shared" si="47"/>
        <v>- - -</v>
      </c>
      <c r="EG31" s="755" t="s">
        <v>342</v>
      </c>
      <c r="EH31" s="794" t="s">
        <v>360</v>
      </c>
      <c r="EI31" s="720" t="s">
        <v>372</v>
      </c>
      <c r="EJ31" s="777" t="s">
        <v>360</v>
      </c>
      <c r="EK31" s="796" t="s">
        <v>364</v>
      </c>
      <c r="EL31" s="792"/>
      <c r="EM31" s="797" t="str">
        <f t="shared" si="41"/>
        <v>- - -</v>
      </c>
      <c r="EN31" s="797" t="str">
        <f t="shared" si="42"/>
        <v>---</v>
      </c>
      <c r="EO31" s="797"/>
      <c r="EP31" s="797"/>
      <c r="EQ31" s="797"/>
      <c r="ER31" s="797"/>
      <c r="ES31" s="797"/>
      <c r="ET31" s="797"/>
      <c r="EU31" s="797"/>
      <c r="EV31" s="797"/>
      <c r="EW31" s="797"/>
      <c r="EX31" s="797"/>
      <c r="EY31" s="797"/>
      <c r="EZ31" s="797"/>
      <c r="FA31" s="797"/>
      <c r="FB31" s="797"/>
      <c r="FC31" s="797"/>
      <c r="FD31" s="797"/>
      <c r="FE31" s="797"/>
      <c r="FF31" s="797"/>
      <c r="FG31" s="797"/>
      <c r="FH31" s="797"/>
      <c r="FI31" s="797"/>
      <c r="FJ31" s="797"/>
      <c r="FK31" s="798"/>
      <c r="FL31" s="798"/>
      <c r="FM31" s="798"/>
      <c r="FN31" s="798"/>
      <c r="FO31" s="798"/>
    </row>
    <row r="32" spans="1:171" s="799" customFormat="1" ht="30.75" customHeight="1" x14ac:dyDescent="0.2">
      <c r="A32" s="720">
        <v>34</v>
      </c>
      <c r="B32" s="721">
        <v>19</v>
      </c>
      <c r="C32" s="720"/>
      <c r="D32" s="720" t="str">
        <f t="shared" si="0"/>
        <v>Ông</v>
      </c>
      <c r="E32" s="722" t="s">
        <v>24</v>
      </c>
      <c r="F32" s="720" t="s">
        <v>379</v>
      </c>
      <c r="G32" s="723" t="s">
        <v>277</v>
      </c>
      <c r="H32" s="724" t="s">
        <v>360</v>
      </c>
      <c r="I32" s="725" t="s">
        <v>349</v>
      </c>
      <c r="J32" s="724" t="s">
        <v>360</v>
      </c>
      <c r="K32" s="726" t="s">
        <v>321</v>
      </c>
      <c r="L32" s="727" t="s">
        <v>452</v>
      </c>
      <c r="M32" s="728" t="str">
        <f t="shared" si="1"/>
        <v>VC</v>
      </c>
      <c r="N32" s="729"/>
      <c r="O32" s="730" t="str">
        <f t="shared" si="2"/>
        <v>CVụ</v>
      </c>
      <c r="P32" s="731" t="s">
        <v>391</v>
      </c>
      <c r="Q32" s="732">
        <f>VLOOKUP(P32,'Du lieu lien quan'!$C$2:$H$115,2,0)</f>
        <v>1</v>
      </c>
      <c r="R32" s="801"/>
      <c r="S32" s="802" t="s">
        <v>559</v>
      </c>
      <c r="T32" s="733" t="str">
        <f>VLOOKUP(Y32,'Du lieu lien quan'!$C$2:$H$60,5,0)</f>
        <v>A2</v>
      </c>
      <c r="U32" s="734" t="str">
        <f>VLOOKUP(Y32,'Du lieu lien quan'!$C$2:$H$60,6,0)</f>
        <v>A2.1</v>
      </c>
      <c r="V32" s="803" t="s">
        <v>424</v>
      </c>
      <c r="W32" s="804" t="str">
        <f t="shared" si="3"/>
        <v>Giảng viên chính (hạng II)</v>
      </c>
      <c r="X32" s="805" t="str">
        <f t="shared" si="4"/>
        <v>V.07.01.02</v>
      </c>
      <c r="Y32" s="735" t="s">
        <v>431</v>
      </c>
      <c r="Z32" s="735" t="str">
        <f>VLOOKUP(Y32,'Du lieu lien quan'!$C$1:$H$133,2,0)</f>
        <v>V.07.01.02</v>
      </c>
      <c r="AA32" s="736" t="str">
        <f t="shared" si="5"/>
        <v>Lương</v>
      </c>
      <c r="AB32" s="737">
        <v>3</v>
      </c>
      <c r="AC32" s="738" t="str">
        <f>IF(AD32&gt;0,"/")</f>
        <v>/</v>
      </c>
      <c r="AD32" s="739">
        <f>IF(OR(BE32=0.18,BE32=0.2),12,IF(BE32=0.31,10,IF(BE32=0.33,9,IF(BE32=0.34,8,IF(BE32=0.36,6)))))</f>
        <v>8</v>
      </c>
      <c r="AE32" s="740">
        <f t="shared" si="6"/>
        <v>5.08</v>
      </c>
      <c r="AF32" s="741"/>
      <c r="AG32" s="741"/>
      <c r="AH32" s="742"/>
      <c r="AI32" s="743" t="s">
        <v>360</v>
      </c>
      <c r="AJ32" s="744"/>
      <c r="AK32" s="743" t="s">
        <v>360</v>
      </c>
      <c r="AL32" s="745"/>
      <c r="AM32" s="746"/>
      <c r="AN32" s="747"/>
      <c r="AO32" s="748">
        <f t="shared" si="7"/>
        <v>4</v>
      </c>
      <c r="AP32" s="749" t="str">
        <f t="shared" si="8"/>
        <v>/</v>
      </c>
      <c r="AQ32" s="750">
        <f t="shared" si="9"/>
        <v>8</v>
      </c>
      <c r="AR32" s="751">
        <f t="shared" si="10"/>
        <v>5.42</v>
      </c>
      <c r="AS32" s="752"/>
      <c r="AT32" s="753" t="s">
        <v>342</v>
      </c>
      <c r="AU32" s="754" t="s">
        <v>360</v>
      </c>
      <c r="AV32" s="755" t="s">
        <v>342</v>
      </c>
      <c r="AW32" s="754" t="s">
        <v>360</v>
      </c>
      <c r="AX32" s="756">
        <v>2020</v>
      </c>
      <c r="AY32" s="757"/>
      <c r="AZ32" s="758" t="s">
        <v>628</v>
      </c>
      <c r="BA32" s="759">
        <v>1.18</v>
      </c>
      <c r="BB32" s="760">
        <f t="shared" si="11"/>
        <v>3</v>
      </c>
      <c r="BC32" s="761">
        <f t="shared" si="12"/>
        <v>-24241</v>
      </c>
      <c r="BD32" s="761">
        <f>VLOOKUP(Y32,'Du lieu lien quan'!$C$1:$F$60,3,0)</f>
        <v>4.4000000000000004</v>
      </c>
      <c r="BE32" s="762">
        <f>VLOOKUP(Y32,'Du lieu lien quan'!$C$1:$F$60,4,0)</f>
        <v>0.34</v>
      </c>
      <c r="BF32" s="763" t="e">
        <f t="shared" si="13"/>
        <v>#VALUE!</v>
      </c>
      <c r="BG32" s="878">
        <v>24</v>
      </c>
      <c r="BH32" s="764" t="s">
        <v>333</v>
      </c>
      <c r="BI32" s="765" t="s">
        <v>342</v>
      </c>
      <c r="BJ32" s="2272">
        <v>10</v>
      </c>
      <c r="BK32" s="807" t="s">
        <v>360</v>
      </c>
      <c r="BL32" s="2264">
        <v>2021</v>
      </c>
      <c r="BM32" s="808"/>
      <c r="BN32" s="809"/>
      <c r="BO32" s="767"/>
      <c r="BP32" s="810">
        <f t="shared" si="14"/>
        <v>25</v>
      </c>
      <c r="BQ32" s="811" t="s">
        <v>333</v>
      </c>
      <c r="BR32" s="754" t="s">
        <v>342</v>
      </c>
      <c r="BS32" s="812">
        <v>10</v>
      </c>
      <c r="BT32" s="792" t="s">
        <v>360</v>
      </c>
      <c r="BU32" s="769">
        <v>2022</v>
      </c>
      <c r="BV32" s="769"/>
      <c r="BW32" s="770"/>
      <c r="BX32" s="771"/>
      <c r="BY32" s="762" t="e">
        <f t="shared" si="15"/>
        <v>#VALUE!</v>
      </c>
      <c r="BZ32" s="772" t="str">
        <f t="shared" si="45"/>
        <v>- - -</v>
      </c>
      <c r="CA32" s="773" t="str">
        <f t="shared" si="17"/>
        <v>Chánh Văn phòng Học viện, Trưởng Ban Tổ chức - Cán bộ, Trưởng Trung tâm Ngoại ngữ - Tin học và Thông tin - Thư viện</v>
      </c>
      <c r="CB32" s="774" t="str">
        <f t="shared" si="18"/>
        <v>A</v>
      </c>
      <c r="CC32" s="736" t="str">
        <f t="shared" si="19"/>
        <v>=&gt; s</v>
      </c>
      <c r="CD32" s="720">
        <f t="shared" si="20"/>
        <v>24265</v>
      </c>
      <c r="CE32" s="720" t="str">
        <f t="shared" si="21"/>
        <v>S</v>
      </c>
      <c r="CF32" s="775">
        <v>2014</v>
      </c>
      <c r="CG32" s="720" t="s">
        <v>428</v>
      </c>
      <c r="CH32" s="776"/>
      <c r="CI32" s="720"/>
      <c r="CJ32" s="777" t="str">
        <f t="shared" si="22"/>
        <v>Cùg Ng</v>
      </c>
      <c r="CK32" s="778" t="str">
        <f t="shared" si="23"/>
        <v>NN</v>
      </c>
      <c r="CL32" s="779">
        <v>7</v>
      </c>
      <c r="CM32" s="778">
        <v>2012</v>
      </c>
      <c r="CN32" s="780"/>
      <c r="CO32" s="777"/>
      <c r="CP32" s="778" t="str">
        <f t="shared" si="24"/>
        <v>- - -</v>
      </c>
      <c r="CQ32" s="779"/>
      <c r="CR32" s="778"/>
      <c r="CS32" s="780"/>
      <c r="CT32" s="781"/>
      <c r="CU32" s="782" t="str">
        <f t="shared" si="25"/>
        <v>---</v>
      </c>
      <c r="CV32" s="783" t="str">
        <f t="shared" si="26"/>
        <v>/-/ /-/</v>
      </c>
      <c r="CW32" s="784">
        <f t="shared" si="27"/>
        <v>10</v>
      </c>
      <c r="CX32" s="783">
        <f t="shared" si="28"/>
        <v>2033</v>
      </c>
      <c r="CY32" s="784">
        <f t="shared" si="29"/>
        <v>7</v>
      </c>
      <c r="CZ32" s="783">
        <f t="shared" si="30"/>
        <v>2033</v>
      </c>
      <c r="DA32" s="784">
        <f t="shared" si="31"/>
        <v>4</v>
      </c>
      <c r="DB32" s="785">
        <f t="shared" si="32"/>
        <v>2033</v>
      </c>
      <c r="DC32" s="786" t="str">
        <f t="shared" si="33"/>
        <v>- - -</v>
      </c>
      <c r="DD32" s="786" t="str">
        <f t="shared" si="34"/>
        <v>. .</v>
      </c>
      <c r="DE32" s="736"/>
      <c r="DF32" s="736">
        <f t="shared" si="35"/>
        <v>720</v>
      </c>
      <c r="DG32" s="736">
        <f t="shared" si="36"/>
        <v>-23673</v>
      </c>
      <c r="DH32" s="736">
        <f t="shared" si="37"/>
        <v>-1973</v>
      </c>
      <c r="DI32" s="736" t="str">
        <f t="shared" si="38"/>
        <v>Nam dưới 35</v>
      </c>
      <c r="DJ32" s="736"/>
      <c r="DK32" s="762"/>
      <c r="DL32" s="778" t="str">
        <f t="shared" si="39"/>
        <v>Đến 30</v>
      </c>
      <c r="DM32" s="787" t="str">
        <f t="shared" si="40"/>
        <v>--</v>
      </c>
      <c r="DN32" s="720"/>
      <c r="DO32" s="788"/>
      <c r="DP32" s="787"/>
      <c r="DQ32" s="780"/>
      <c r="DR32" s="789"/>
      <c r="DS32" s="790"/>
      <c r="DT32" s="791"/>
      <c r="DU32" s="792"/>
      <c r="DV32" s="793"/>
      <c r="DW32" s="753"/>
      <c r="DX32" s="755" t="s">
        <v>118</v>
      </c>
      <c r="DY32" s="755"/>
      <c r="DZ32" s="755" t="s">
        <v>342</v>
      </c>
      <c r="EA32" s="794" t="s">
        <v>360</v>
      </c>
      <c r="EB32" s="755" t="s">
        <v>348</v>
      </c>
      <c r="EC32" s="795" t="s">
        <v>360</v>
      </c>
      <c r="ED32" s="753">
        <v>2012</v>
      </c>
      <c r="EE32" s="755">
        <f t="shared" si="46"/>
        <v>0</v>
      </c>
      <c r="EF32" s="755" t="str">
        <f t="shared" si="47"/>
        <v>- - -</v>
      </c>
      <c r="EG32" s="755" t="s">
        <v>342</v>
      </c>
      <c r="EH32" s="794" t="s">
        <v>360</v>
      </c>
      <c r="EI32" s="720" t="s">
        <v>348</v>
      </c>
      <c r="EJ32" s="777" t="s">
        <v>360</v>
      </c>
      <c r="EK32" s="796">
        <v>2012</v>
      </c>
      <c r="EL32" s="792">
        <v>3.99</v>
      </c>
      <c r="EM32" s="797" t="str">
        <f t="shared" si="41"/>
        <v>- - -</v>
      </c>
      <c r="EN32" s="797" t="str">
        <f t="shared" si="42"/>
        <v>---</v>
      </c>
      <c r="EO32" s="797"/>
      <c r="EP32" s="797"/>
      <c r="EQ32" s="797"/>
      <c r="ER32" s="797"/>
      <c r="ES32" s="797"/>
      <c r="ET32" s="797"/>
      <c r="EU32" s="797"/>
      <c r="EV32" s="797"/>
      <c r="EW32" s="797"/>
      <c r="EX32" s="797"/>
      <c r="EY32" s="797"/>
      <c r="EZ32" s="797"/>
      <c r="FA32" s="797"/>
      <c r="FB32" s="797"/>
      <c r="FC32" s="797"/>
      <c r="FD32" s="797"/>
      <c r="FE32" s="797"/>
      <c r="FF32" s="797"/>
      <c r="FG32" s="797"/>
      <c r="FH32" s="797"/>
      <c r="FI32" s="797"/>
      <c r="FJ32" s="797"/>
      <c r="FK32" s="798"/>
      <c r="FL32" s="798"/>
      <c r="FM32" s="798"/>
      <c r="FN32" s="798"/>
      <c r="FO32" s="798"/>
    </row>
    <row r="33" spans="1:171" s="799" customFormat="1" ht="36.75" customHeight="1" x14ac:dyDescent="0.2">
      <c r="A33" s="720">
        <v>663</v>
      </c>
      <c r="B33" s="721">
        <v>20</v>
      </c>
      <c r="C33" s="720"/>
      <c r="D33" s="720" t="str">
        <f t="shared" si="0"/>
        <v>Ông</v>
      </c>
      <c r="E33" s="722" t="s">
        <v>93</v>
      </c>
      <c r="F33" s="720" t="s">
        <v>379</v>
      </c>
      <c r="G33" s="723" t="s">
        <v>327</v>
      </c>
      <c r="H33" s="724" t="s">
        <v>360</v>
      </c>
      <c r="I33" s="725" t="s">
        <v>373</v>
      </c>
      <c r="J33" s="724" t="s">
        <v>360</v>
      </c>
      <c r="K33" s="726" t="s">
        <v>322</v>
      </c>
      <c r="L33" s="727" t="s">
        <v>452</v>
      </c>
      <c r="M33" s="728" t="str">
        <f t="shared" si="1"/>
        <v>VC</v>
      </c>
      <c r="N33" s="729"/>
      <c r="O33" s="730" t="e">
        <f t="shared" si="2"/>
        <v>#N/A</v>
      </c>
      <c r="P33" s="731"/>
      <c r="Q33" s="732" t="e">
        <f>VLOOKUP(P33,'[1]- DLiêu Gốc (Không sửa)'!$C$2:$H$116,2,0)</f>
        <v>#N/A</v>
      </c>
      <c r="R33" s="801" t="s">
        <v>563</v>
      </c>
      <c r="S33" s="802" t="s">
        <v>557</v>
      </c>
      <c r="T33" s="733" t="str">
        <f>VLOOKUP(Y33,'Du lieu lien quan'!$C$2:$H$60,5,0)</f>
        <v>A1</v>
      </c>
      <c r="U33" s="734" t="str">
        <f>VLOOKUP(Y33,'Du lieu lien quan'!$C$2:$H$60,6,0)</f>
        <v>- - -</v>
      </c>
      <c r="V33" s="803" t="s">
        <v>424</v>
      </c>
      <c r="W33" s="804" t="str">
        <f t="shared" si="3"/>
        <v>Giảng viên (hạng III)</v>
      </c>
      <c r="X33" s="805" t="str">
        <f t="shared" si="4"/>
        <v>V.07.01.03</v>
      </c>
      <c r="Y33" s="735" t="s">
        <v>430</v>
      </c>
      <c r="Z33" s="735" t="str">
        <f>VLOOKUP(Y33,'Du lieu lien quan'!$C$1:$H$133,2,0)</f>
        <v>V.07.01.03</v>
      </c>
      <c r="AA33" s="736" t="str">
        <f t="shared" si="5"/>
        <v>Lương</v>
      </c>
      <c r="AB33" s="737">
        <v>7</v>
      </c>
      <c r="AC33" s="738" t="str">
        <f>IF(AD33&gt;0,"/")</f>
        <v>/</v>
      </c>
      <c r="AD33" s="739">
        <f>IF(OR(BE33=0.18,BE33=0.2),12,IF(BE33=0.31,10,IF(BE33=0.33,9,IF(BE33=0.34,8,IF(BE33=0.36,6)))))</f>
        <v>9</v>
      </c>
      <c r="AE33" s="740">
        <f t="shared" si="6"/>
        <v>4.32</v>
      </c>
      <c r="AF33" s="741"/>
      <c r="AG33" s="741"/>
      <c r="AH33" s="742" t="s">
        <v>342</v>
      </c>
      <c r="AI33" s="743" t="s">
        <v>360</v>
      </c>
      <c r="AJ33" s="744" t="s">
        <v>345</v>
      </c>
      <c r="AK33" s="743" t="s">
        <v>360</v>
      </c>
      <c r="AL33" s="745">
        <v>2017</v>
      </c>
      <c r="AM33" s="746"/>
      <c r="AN33" s="747"/>
      <c r="AO33" s="748">
        <f t="shared" si="7"/>
        <v>8</v>
      </c>
      <c r="AP33" s="749" t="str">
        <f t="shared" si="8"/>
        <v>/</v>
      </c>
      <c r="AQ33" s="750">
        <f t="shared" si="9"/>
        <v>9</v>
      </c>
      <c r="AR33" s="751">
        <f t="shared" si="10"/>
        <v>4.6500000000000004</v>
      </c>
      <c r="AS33" s="752"/>
      <c r="AT33" s="753" t="s">
        <v>342</v>
      </c>
      <c r="AU33" s="754" t="s">
        <v>360</v>
      </c>
      <c r="AV33" s="755" t="s">
        <v>345</v>
      </c>
      <c r="AW33" s="754" t="s">
        <v>360</v>
      </c>
      <c r="AX33" s="756">
        <v>2020</v>
      </c>
      <c r="AY33" s="757"/>
      <c r="AZ33" s="758"/>
      <c r="BA33" s="759"/>
      <c r="BB33" s="760">
        <f t="shared" si="11"/>
        <v>3</v>
      </c>
      <c r="BC33" s="761">
        <f t="shared" si="12"/>
        <v>-24246</v>
      </c>
      <c r="BD33" s="761">
        <f>VLOOKUP(Y33,'Du lieu lien quan'!$C$1:$F$60,3,0)</f>
        <v>2.34</v>
      </c>
      <c r="BE33" s="762">
        <f>VLOOKUP(Y33,'Du lieu lien quan'!$C$1:$F$60,4,0)</f>
        <v>0.33</v>
      </c>
      <c r="BF33" s="763" t="e">
        <f t="shared" si="13"/>
        <v>#VALUE!</v>
      </c>
      <c r="BG33" s="878">
        <v>15</v>
      </c>
      <c r="BH33" s="764" t="s">
        <v>333</v>
      </c>
      <c r="BI33" s="765" t="s">
        <v>342</v>
      </c>
      <c r="BJ33" s="2272">
        <v>10</v>
      </c>
      <c r="BK33" s="807" t="s">
        <v>360</v>
      </c>
      <c r="BL33" s="2264">
        <v>2021</v>
      </c>
      <c r="BM33" s="808"/>
      <c r="BN33" s="809"/>
      <c r="BO33" s="767"/>
      <c r="BP33" s="810">
        <f t="shared" si="14"/>
        <v>16</v>
      </c>
      <c r="BQ33" s="811" t="s">
        <v>333</v>
      </c>
      <c r="BR33" s="754" t="s">
        <v>342</v>
      </c>
      <c r="BS33" s="812">
        <v>10</v>
      </c>
      <c r="BT33" s="792" t="s">
        <v>360</v>
      </c>
      <c r="BU33" s="769">
        <v>2022</v>
      </c>
      <c r="BV33" s="769"/>
      <c r="BW33" s="770"/>
      <c r="BX33" s="771"/>
      <c r="BY33" s="762" t="e">
        <f t="shared" si="15"/>
        <v>#VALUE!</v>
      </c>
      <c r="BZ33" s="772" t="str">
        <f t="shared" si="45"/>
        <v>- - -</v>
      </c>
      <c r="CA33" s="773" t="str">
        <f t="shared" si="17"/>
        <v>Chánh Văn phòng Học viện, Trưởng Ban Tổ chức - Cán bộ, Trưởng Phân viện Học viện Hành chính Quốc gia tại Thành phố Hồ Chí Minh</v>
      </c>
      <c r="CB33" s="774" t="str">
        <f t="shared" si="18"/>
        <v>A</v>
      </c>
      <c r="CC33" s="736" t="str">
        <f t="shared" si="19"/>
        <v>=&gt; s</v>
      </c>
      <c r="CD33" s="720">
        <f t="shared" si="20"/>
        <v>24270</v>
      </c>
      <c r="CE33" s="720" t="str">
        <f t="shared" si="21"/>
        <v>---</v>
      </c>
      <c r="CF33" s="775"/>
      <c r="CG33" s="720"/>
      <c r="CH33" s="776"/>
      <c r="CI33" s="720"/>
      <c r="CJ33" s="777" t="str">
        <f t="shared" si="22"/>
        <v>- - -</v>
      </c>
      <c r="CK33" s="778" t="str">
        <f t="shared" si="23"/>
        <v>- - -</v>
      </c>
      <c r="CL33" s="779"/>
      <c r="CM33" s="778"/>
      <c r="CN33" s="780"/>
      <c r="CO33" s="777"/>
      <c r="CP33" s="778" t="str">
        <f t="shared" si="24"/>
        <v>- - -</v>
      </c>
      <c r="CQ33" s="779"/>
      <c r="CR33" s="778"/>
      <c r="CS33" s="780"/>
      <c r="CT33" s="781"/>
      <c r="CU33" s="782" t="str">
        <f t="shared" si="25"/>
        <v>---</v>
      </c>
      <c r="CV33" s="783" t="str">
        <f t="shared" si="26"/>
        <v>/-/ /-/</v>
      </c>
      <c r="CW33" s="784">
        <f t="shared" si="27"/>
        <v>12</v>
      </c>
      <c r="CX33" s="783">
        <f t="shared" si="28"/>
        <v>2025</v>
      </c>
      <c r="CY33" s="784">
        <f t="shared" si="29"/>
        <v>9</v>
      </c>
      <c r="CZ33" s="783">
        <f t="shared" si="30"/>
        <v>2025</v>
      </c>
      <c r="DA33" s="784">
        <f t="shared" si="31"/>
        <v>6</v>
      </c>
      <c r="DB33" s="785">
        <f t="shared" si="32"/>
        <v>2025</v>
      </c>
      <c r="DC33" s="786" t="str">
        <f t="shared" si="33"/>
        <v>- - -</v>
      </c>
      <c r="DD33" s="786" t="str">
        <f t="shared" si="34"/>
        <v>. .</v>
      </c>
      <c r="DE33" s="736"/>
      <c r="DF33" s="736">
        <f t="shared" si="35"/>
        <v>720</v>
      </c>
      <c r="DG33" s="736">
        <f t="shared" si="36"/>
        <v>-23579</v>
      </c>
      <c r="DH33" s="736">
        <f t="shared" si="37"/>
        <v>-1965</v>
      </c>
      <c r="DI33" s="736" t="str">
        <f t="shared" si="38"/>
        <v>Nam dưới 35</v>
      </c>
      <c r="DJ33" s="736"/>
      <c r="DK33" s="762"/>
      <c r="DL33" s="778" t="str">
        <f t="shared" si="39"/>
        <v>Đến 30</v>
      </c>
      <c r="DM33" s="787" t="str">
        <f t="shared" si="40"/>
        <v>TD</v>
      </c>
      <c r="DN33" s="720">
        <v>2009</v>
      </c>
      <c r="DO33" s="788"/>
      <c r="DP33" s="787"/>
      <c r="DQ33" s="780"/>
      <c r="DR33" s="789"/>
      <c r="DS33" s="790"/>
      <c r="DT33" s="791"/>
      <c r="DU33" s="792"/>
      <c r="DV33" s="793"/>
      <c r="DW33" s="753" t="s">
        <v>92</v>
      </c>
      <c r="DX33" s="755" t="s">
        <v>416</v>
      </c>
      <c r="DY33" s="755" t="s">
        <v>92</v>
      </c>
      <c r="DZ33" s="755" t="s">
        <v>342</v>
      </c>
      <c r="EA33" s="794" t="s">
        <v>360</v>
      </c>
      <c r="EB33" s="755" t="s">
        <v>345</v>
      </c>
      <c r="EC33" s="795" t="s">
        <v>360</v>
      </c>
      <c r="ED33" s="753">
        <v>2011</v>
      </c>
      <c r="EE33" s="755">
        <f t="shared" si="46"/>
        <v>0</v>
      </c>
      <c r="EF33" s="755" t="str">
        <f t="shared" si="47"/>
        <v>- - -</v>
      </c>
      <c r="EG33" s="755" t="s">
        <v>342</v>
      </c>
      <c r="EH33" s="794" t="s">
        <v>360</v>
      </c>
      <c r="EI33" s="720" t="s">
        <v>345</v>
      </c>
      <c r="EJ33" s="777" t="s">
        <v>360</v>
      </c>
      <c r="EK33" s="796">
        <v>2011</v>
      </c>
      <c r="EL33" s="792"/>
      <c r="EM33" s="797" t="str">
        <f t="shared" si="41"/>
        <v>- - -</v>
      </c>
      <c r="EN33" s="797" t="str">
        <f t="shared" si="42"/>
        <v>---</v>
      </c>
      <c r="EO33" s="797"/>
      <c r="EP33" s="797"/>
      <c r="EQ33" s="797"/>
      <c r="ER33" s="797"/>
      <c r="ES33" s="797"/>
      <c r="ET33" s="797"/>
      <c r="EU33" s="797"/>
      <c r="EV33" s="797"/>
      <c r="EW33" s="797"/>
      <c r="EX33" s="797"/>
      <c r="EY33" s="797"/>
      <c r="EZ33" s="797"/>
      <c r="FA33" s="797"/>
      <c r="FB33" s="797"/>
      <c r="FC33" s="797"/>
      <c r="FD33" s="797"/>
      <c r="FE33" s="797"/>
      <c r="FF33" s="797"/>
      <c r="FG33" s="797"/>
      <c r="FH33" s="797"/>
      <c r="FI33" s="797"/>
      <c r="FJ33" s="797"/>
      <c r="FK33" s="798"/>
      <c r="FL33" s="798"/>
      <c r="FM33" s="798"/>
      <c r="FN33" s="798"/>
      <c r="FO33" s="798"/>
    </row>
    <row r="34" spans="1:171" s="799" customFormat="1" ht="36.75" customHeight="1" x14ac:dyDescent="0.2">
      <c r="A34" s="720">
        <v>678</v>
      </c>
      <c r="B34" s="721">
        <v>21</v>
      </c>
      <c r="C34" s="720"/>
      <c r="D34" s="720" t="str">
        <f t="shared" si="0"/>
        <v>Bà</v>
      </c>
      <c r="E34" s="722" t="s">
        <v>91</v>
      </c>
      <c r="F34" s="720" t="s">
        <v>381</v>
      </c>
      <c r="G34" s="723" t="s">
        <v>342</v>
      </c>
      <c r="H34" s="724" t="s">
        <v>360</v>
      </c>
      <c r="I34" s="725" t="s">
        <v>347</v>
      </c>
      <c r="J34" s="724" t="s">
        <v>360</v>
      </c>
      <c r="K34" s="726" t="s">
        <v>311</v>
      </c>
      <c r="L34" s="727" t="s">
        <v>452</v>
      </c>
      <c r="M34" s="728" t="str">
        <f t="shared" si="1"/>
        <v>VC</v>
      </c>
      <c r="N34" s="729"/>
      <c r="O34" s="730" t="e">
        <f t="shared" si="2"/>
        <v>#N/A</v>
      </c>
      <c r="P34" s="731"/>
      <c r="Q34" s="732" t="e">
        <f>VLOOKUP(P34,'[1]- DLiêu Gốc (Không sửa)'!$C$2:$H$116,2,0)</f>
        <v>#N/A</v>
      </c>
      <c r="R34" s="801" t="s">
        <v>74</v>
      </c>
      <c r="S34" s="802" t="s">
        <v>557</v>
      </c>
      <c r="T34" s="733" t="str">
        <f>VLOOKUP(Y34,'Du lieu lien quan'!$C$2:$H$60,5,0)</f>
        <v>A1</v>
      </c>
      <c r="U34" s="734" t="str">
        <f>VLOOKUP(Y34,'Du lieu lien quan'!$C$2:$H$60,6,0)</f>
        <v>- - -</v>
      </c>
      <c r="V34" s="803" t="s">
        <v>424</v>
      </c>
      <c r="W34" s="804" t="str">
        <f t="shared" si="3"/>
        <v>Giảng viên (hạng III)</v>
      </c>
      <c r="X34" s="805" t="str">
        <f t="shared" si="4"/>
        <v>V.07.01.03</v>
      </c>
      <c r="Y34" s="735" t="s">
        <v>430</v>
      </c>
      <c r="Z34" s="735" t="str">
        <f>VLOOKUP(Y34,'Du lieu lien quan'!$C$1:$H$133,2,0)</f>
        <v>V.07.01.03</v>
      </c>
      <c r="AA34" s="736" t="str">
        <f t="shared" si="5"/>
        <v>Lương</v>
      </c>
      <c r="AB34" s="737">
        <v>7</v>
      </c>
      <c r="AC34" s="738" t="s">
        <v>360</v>
      </c>
      <c r="AD34" s="739">
        <v>9</v>
      </c>
      <c r="AE34" s="740">
        <f t="shared" si="6"/>
        <v>4.32</v>
      </c>
      <c r="AF34" s="741"/>
      <c r="AG34" s="741"/>
      <c r="AH34" s="742" t="s">
        <v>342</v>
      </c>
      <c r="AI34" s="743" t="s">
        <v>360</v>
      </c>
      <c r="AJ34" s="744" t="s">
        <v>372</v>
      </c>
      <c r="AK34" s="743" t="s">
        <v>360</v>
      </c>
      <c r="AL34" s="745">
        <v>2018</v>
      </c>
      <c r="AM34" s="746"/>
      <c r="AN34" s="747"/>
      <c r="AO34" s="748">
        <f t="shared" si="7"/>
        <v>8</v>
      </c>
      <c r="AP34" s="749" t="str">
        <f t="shared" si="8"/>
        <v>/</v>
      </c>
      <c r="AQ34" s="750">
        <f t="shared" si="9"/>
        <v>9</v>
      </c>
      <c r="AR34" s="751">
        <f t="shared" si="10"/>
        <v>4.6500000000000004</v>
      </c>
      <c r="AS34" s="752"/>
      <c r="AT34" s="753" t="s">
        <v>342</v>
      </c>
      <c r="AU34" s="754" t="s">
        <v>360</v>
      </c>
      <c r="AV34" s="755" t="s">
        <v>372</v>
      </c>
      <c r="AW34" s="754" t="s">
        <v>360</v>
      </c>
      <c r="AX34" s="756">
        <v>2021</v>
      </c>
      <c r="AY34" s="757"/>
      <c r="AZ34" s="758"/>
      <c r="BA34" s="759"/>
      <c r="BB34" s="760">
        <f t="shared" si="11"/>
        <v>3</v>
      </c>
      <c r="BC34" s="761">
        <f t="shared" si="12"/>
        <v>-24262</v>
      </c>
      <c r="BD34" s="761">
        <f>VLOOKUP(Y34,'Du lieu lien quan'!$C$1:$F$60,3,0)</f>
        <v>2.34</v>
      </c>
      <c r="BE34" s="762">
        <f>VLOOKUP(Y34,'Du lieu lien quan'!$C$1:$F$60,4,0)</f>
        <v>0.33</v>
      </c>
      <c r="BF34" s="763" t="e">
        <f t="shared" si="13"/>
        <v>#VALUE!</v>
      </c>
      <c r="BG34" s="878">
        <v>21</v>
      </c>
      <c r="BH34" s="764" t="s">
        <v>333</v>
      </c>
      <c r="BI34" s="765" t="s">
        <v>342</v>
      </c>
      <c r="BJ34" s="2272">
        <v>10</v>
      </c>
      <c r="BK34" s="807" t="s">
        <v>360</v>
      </c>
      <c r="BL34" s="2264">
        <v>2021</v>
      </c>
      <c r="BM34" s="808"/>
      <c r="BN34" s="809"/>
      <c r="BO34" s="767"/>
      <c r="BP34" s="810">
        <f t="shared" si="14"/>
        <v>22</v>
      </c>
      <c r="BQ34" s="811" t="s">
        <v>333</v>
      </c>
      <c r="BR34" s="754" t="s">
        <v>342</v>
      </c>
      <c r="BS34" s="812">
        <v>10</v>
      </c>
      <c r="BT34" s="792" t="s">
        <v>360</v>
      </c>
      <c r="BU34" s="769">
        <v>2022</v>
      </c>
      <c r="BV34" s="769"/>
      <c r="BW34" s="770"/>
      <c r="BX34" s="771"/>
      <c r="BY34" s="762" t="e">
        <f t="shared" si="15"/>
        <v>#VALUE!</v>
      </c>
      <c r="BZ34" s="772" t="str">
        <f t="shared" si="45"/>
        <v>- - -</v>
      </c>
      <c r="CA34" s="773" t="str">
        <f t="shared" si="17"/>
        <v>Chánh Văn phòng Học viện, Trưởng Ban Tổ chức - Cán bộ, Trưởng Phân viện Học viện Hành chính Quốc gia tại Thành phố Hồ Chí Minh</v>
      </c>
      <c r="CB34" s="774" t="str">
        <f t="shared" si="18"/>
        <v>A</v>
      </c>
      <c r="CC34" s="736" t="str">
        <f t="shared" si="19"/>
        <v>=&gt; s</v>
      </c>
      <c r="CD34" s="720">
        <f t="shared" si="20"/>
        <v>24286</v>
      </c>
      <c r="CE34" s="720" t="str">
        <f t="shared" si="21"/>
        <v>---</v>
      </c>
      <c r="CF34" s="775"/>
      <c r="CG34" s="720"/>
      <c r="CH34" s="776"/>
      <c r="CI34" s="720"/>
      <c r="CJ34" s="777" t="str">
        <f t="shared" si="22"/>
        <v>- - -</v>
      </c>
      <c r="CK34" s="778" t="str">
        <f t="shared" si="23"/>
        <v>- - -</v>
      </c>
      <c r="CL34" s="779"/>
      <c r="CM34" s="778"/>
      <c r="CN34" s="780"/>
      <c r="CO34" s="777"/>
      <c r="CP34" s="778" t="str">
        <f t="shared" si="24"/>
        <v>- - -</v>
      </c>
      <c r="CQ34" s="779"/>
      <c r="CR34" s="778"/>
      <c r="CS34" s="780"/>
      <c r="CT34" s="781"/>
      <c r="CU34" s="782" t="str">
        <f t="shared" si="25"/>
        <v>---</v>
      </c>
      <c r="CV34" s="783" t="str">
        <f t="shared" si="26"/>
        <v>/-/ /-/</v>
      </c>
      <c r="CW34" s="784">
        <f t="shared" si="27"/>
        <v>4</v>
      </c>
      <c r="CX34" s="783">
        <f t="shared" si="28"/>
        <v>2032</v>
      </c>
      <c r="CY34" s="784">
        <f t="shared" si="29"/>
        <v>1</v>
      </c>
      <c r="CZ34" s="783">
        <f t="shared" si="30"/>
        <v>2032</v>
      </c>
      <c r="DA34" s="784">
        <f t="shared" si="31"/>
        <v>10</v>
      </c>
      <c r="DB34" s="785">
        <f t="shared" si="32"/>
        <v>2031</v>
      </c>
      <c r="DC34" s="786" t="str">
        <f t="shared" si="33"/>
        <v>- - -</v>
      </c>
      <c r="DD34" s="786" t="str">
        <f t="shared" si="34"/>
        <v>. .</v>
      </c>
      <c r="DE34" s="736"/>
      <c r="DF34" s="736">
        <f t="shared" si="35"/>
        <v>660</v>
      </c>
      <c r="DG34" s="736">
        <f t="shared" si="36"/>
        <v>-23715</v>
      </c>
      <c r="DH34" s="736">
        <f t="shared" si="37"/>
        <v>-1977</v>
      </c>
      <c r="DI34" s="736" t="str">
        <f t="shared" si="38"/>
        <v>Nữ dưới 30</v>
      </c>
      <c r="DJ34" s="736"/>
      <c r="DK34" s="762"/>
      <c r="DL34" s="778" t="str">
        <f t="shared" si="39"/>
        <v>Đến 30</v>
      </c>
      <c r="DM34" s="787" t="str">
        <f t="shared" si="40"/>
        <v>--</v>
      </c>
      <c r="DN34" s="720"/>
      <c r="DO34" s="788"/>
      <c r="DP34" s="787"/>
      <c r="DQ34" s="780"/>
      <c r="DR34" s="789"/>
      <c r="DS34" s="790"/>
      <c r="DT34" s="791"/>
      <c r="DU34" s="792"/>
      <c r="DV34" s="793"/>
      <c r="DW34" s="753" t="s">
        <v>74</v>
      </c>
      <c r="DX34" s="755" t="s">
        <v>416</v>
      </c>
      <c r="DY34" s="755" t="s">
        <v>74</v>
      </c>
      <c r="DZ34" s="755" t="s">
        <v>342</v>
      </c>
      <c r="EA34" s="794" t="s">
        <v>360</v>
      </c>
      <c r="EB34" s="755" t="s">
        <v>372</v>
      </c>
      <c r="EC34" s="795" t="s">
        <v>360</v>
      </c>
      <c r="ED34" s="753">
        <v>2012</v>
      </c>
      <c r="EE34" s="755">
        <f t="shared" si="46"/>
        <v>0</v>
      </c>
      <c r="EF34" s="755" t="str">
        <f t="shared" si="47"/>
        <v>- - -</v>
      </c>
      <c r="EG34" s="755" t="s">
        <v>342</v>
      </c>
      <c r="EH34" s="794" t="s">
        <v>360</v>
      </c>
      <c r="EI34" s="720" t="s">
        <v>372</v>
      </c>
      <c r="EJ34" s="777" t="s">
        <v>360</v>
      </c>
      <c r="EK34" s="796">
        <v>2012</v>
      </c>
      <c r="EL34" s="792"/>
      <c r="EM34" s="797" t="str">
        <f t="shared" si="41"/>
        <v>- - -</v>
      </c>
      <c r="EN34" s="797" t="str">
        <f t="shared" si="42"/>
        <v>---</v>
      </c>
      <c r="EO34" s="797"/>
      <c r="EP34" s="797"/>
      <c r="EQ34" s="797"/>
      <c r="ER34" s="797"/>
      <c r="ES34" s="797"/>
      <c r="ET34" s="797"/>
      <c r="EU34" s="797"/>
      <c r="EV34" s="797"/>
      <c r="EW34" s="797"/>
      <c r="EX34" s="797"/>
      <c r="EY34" s="797"/>
      <c r="EZ34" s="797"/>
      <c r="FA34" s="797"/>
      <c r="FB34" s="797"/>
      <c r="FC34" s="797"/>
      <c r="FD34" s="797"/>
      <c r="FE34" s="797"/>
      <c r="FF34" s="797"/>
      <c r="FG34" s="797"/>
      <c r="FH34" s="797"/>
      <c r="FI34" s="797"/>
      <c r="FJ34" s="797"/>
      <c r="FK34" s="798"/>
      <c r="FL34" s="798"/>
      <c r="FM34" s="798"/>
      <c r="FN34" s="798"/>
      <c r="FO34" s="798"/>
    </row>
    <row r="35" spans="1:171" s="799" customFormat="1" ht="36.75" customHeight="1" x14ac:dyDescent="0.2">
      <c r="A35" s="720">
        <v>690</v>
      </c>
      <c r="B35" s="721">
        <v>22</v>
      </c>
      <c r="C35" s="720"/>
      <c r="D35" s="720" t="str">
        <f t="shared" si="0"/>
        <v>Ông</v>
      </c>
      <c r="E35" s="722" t="s">
        <v>298</v>
      </c>
      <c r="F35" s="720" t="s">
        <v>379</v>
      </c>
      <c r="G35" s="723" t="s">
        <v>350</v>
      </c>
      <c r="H35" s="724" t="s">
        <v>360</v>
      </c>
      <c r="I35" s="725" t="s">
        <v>372</v>
      </c>
      <c r="J35" s="724" t="s">
        <v>360</v>
      </c>
      <c r="K35" s="726">
        <v>1965</v>
      </c>
      <c r="L35" s="727" t="s">
        <v>452</v>
      </c>
      <c r="M35" s="728" t="str">
        <f t="shared" si="1"/>
        <v>VC</v>
      </c>
      <c r="N35" s="729"/>
      <c r="O35" s="730" t="e">
        <f t="shared" si="2"/>
        <v>#VALUE!</v>
      </c>
      <c r="P35" s="731" t="s">
        <v>255</v>
      </c>
      <c r="Q35" s="732" t="str">
        <f>VLOOKUP(P35,'[1]- DLiêu Gốc (Không sửa)'!$C$2:$H$116,2,0)</f>
        <v>0,6</v>
      </c>
      <c r="R35" s="801" t="s">
        <v>578</v>
      </c>
      <c r="S35" s="802" t="s">
        <v>557</v>
      </c>
      <c r="T35" s="733" t="str">
        <f>VLOOKUP(Y35,'Du lieu lien quan'!$C$2:$H$60,5,0)</f>
        <v>A2</v>
      </c>
      <c r="U35" s="734" t="str">
        <f>VLOOKUP(Y35,'Du lieu lien quan'!$C$2:$H$60,6,0)</f>
        <v>A2.1</v>
      </c>
      <c r="V35" s="803" t="s">
        <v>424</v>
      </c>
      <c r="W35" s="804" t="str">
        <f t="shared" si="3"/>
        <v>Giảng viên chính (hạng II)</v>
      </c>
      <c r="X35" s="805" t="str">
        <f t="shared" si="4"/>
        <v>V.07.01.02</v>
      </c>
      <c r="Y35" s="735" t="s">
        <v>431</v>
      </c>
      <c r="Z35" s="735" t="str">
        <f>VLOOKUP(Y35,'Du lieu lien quan'!$C$1:$H$133,2,0)</f>
        <v>V.07.01.02</v>
      </c>
      <c r="AA35" s="736" t="str">
        <f t="shared" si="5"/>
        <v>Lương</v>
      </c>
      <c r="AB35" s="737">
        <v>7</v>
      </c>
      <c r="AC35" s="738" t="str">
        <f>IF(AD35&gt;0,"/")</f>
        <v>/</v>
      </c>
      <c r="AD35" s="739">
        <f>IF(OR(BE35=0.18,BE35=0.2),12,IF(BE35=0.31,10,IF(BE35=0.33,9,IF(BE35=0.34,8,IF(BE35=0.36,6)))))</f>
        <v>8</v>
      </c>
      <c r="AE35" s="740">
        <f t="shared" si="6"/>
        <v>6.44</v>
      </c>
      <c r="AF35" s="741"/>
      <c r="AG35" s="741"/>
      <c r="AH35" s="742" t="s">
        <v>342</v>
      </c>
      <c r="AI35" s="743" t="s">
        <v>360</v>
      </c>
      <c r="AJ35" s="744" t="s">
        <v>343</v>
      </c>
      <c r="AK35" s="743" t="s">
        <v>360</v>
      </c>
      <c r="AL35" s="745">
        <v>2018</v>
      </c>
      <c r="AM35" s="746"/>
      <c r="AN35" s="747"/>
      <c r="AO35" s="748">
        <f t="shared" si="7"/>
        <v>8</v>
      </c>
      <c r="AP35" s="749" t="str">
        <f t="shared" si="8"/>
        <v>/</v>
      </c>
      <c r="AQ35" s="750">
        <f t="shared" si="9"/>
        <v>8</v>
      </c>
      <c r="AR35" s="751">
        <f t="shared" si="10"/>
        <v>6.78</v>
      </c>
      <c r="AS35" s="752"/>
      <c r="AT35" s="753" t="s">
        <v>342</v>
      </c>
      <c r="AU35" s="754" t="s">
        <v>360</v>
      </c>
      <c r="AV35" s="755" t="s">
        <v>401</v>
      </c>
      <c r="AW35" s="754" t="s">
        <v>360</v>
      </c>
      <c r="AX35" s="756">
        <v>2020</v>
      </c>
      <c r="AY35" s="757"/>
      <c r="AZ35" s="758" t="s">
        <v>629</v>
      </c>
      <c r="BA35" s="759">
        <v>2.1800000000000002</v>
      </c>
      <c r="BB35" s="760">
        <f t="shared" si="11"/>
        <v>3</v>
      </c>
      <c r="BC35" s="761">
        <f t="shared" si="12"/>
        <v>-24245</v>
      </c>
      <c r="BD35" s="761">
        <f>VLOOKUP(Y35,'Du lieu lien quan'!$C$1:$F$60,3,0)</f>
        <v>4.4000000000000004</v>
      </c>
      <c r="BE35" s="762">
        <f>VLOOKUP(Y35,'Du lieu lien quan'!$C$1:$F$60,4,0)</f>
        <v>0.34</v>
      </c>
      <c r="BF35" s="763" t="e">
        <f t="shared" si="13"/>
        <v>#VALUE!</v>
      </c>
      <c r="BG35" s="878">
        <v>16</v>
      </c>
      <c r="BH35" s="764" t="s">
        <v>333</v>
      </c>
      <c r="BI35" s="765" t="s">
        <v>342</v>
      </c>
      <c r="BJ35" s="2272">
        <v>10</v>
      </c>
      <c r="BK35" s="807" t="s">
        <v>360</v>
      </c>
      <c r="BL35" s="2264">
        <v>2021</v>
      </c>
      <c r="BM35" s="808"/>
      <c r="BN35" s="809"/>
      <c r="BO35" s="767"/>
      <c r="BP35" s="810">
        <f t="shared" si="14"/>
        <v>17</v>
      </c>
      <c r="BQ35" s="811" t="s">
        <v>333</v>
      </c>
      <c r="BR35" s="754" t="s">
        <v>342</v>
      </c>
      <c r="BS35" s="812">
        <v>10</v>
      </c>
      <c r="BT35" s="792" t="s">
        <v>360</v>
      </c>
      <c r="BU35" s="769">
        <v>2022</v>
      </c>
      <c r="BV35" s="769"/>
      <c r="BW35" s="770"/>
      <c r="BX35" s="771"/>
      <c r="BY35" s="762" t="e">
        <f t="shared" si="15"/>
        <v>#VALUE!</v>
      </c>
      <c r="BZ35" s="772" t="str">
        <f t="shared" si="45"/>
        <v>- - -</v>
      </c>
      <c r="CA35" s="773" t="str">
        <f t="shared" si="17"/>
        <v>Chánh Văn phòng Học viện, Trưởng Ban Tổ chức - Cán bộ, Trưởng Phân viện Học viện Hành chính Quốc gia tại Thành phố Hồ Chí Minh</v>
      </c>
      <c r="CB35" s="774" t="str">
        <f t="shared" si="18"/>
        <v>A</v>
      </c>
      <c r="CC35" s="736" t="str">
        <f t="shared" si="19"/>
        <v>=&gt; s</v>
      </c>
      <c r="CD35" s="720">
        <f t="shared" si="20"/>
        <v>24269</v>
      </c>
      <c r="CE35" s="720" t="str">
        <f t="shared" si="21"/>
        <v>---</v>
      </c>
      <c r="CF35" s="775"/>
      <c r="CG35" s="720"/>
      <c r="CH35" s="776"/>
      <c r="CI35" s="720"/>
      <c r="CJ35" s="777" t="str">
        <f t="shared" si="22"/>
        <v>- - -</v>
      </c>
      <c r="CK35" s="778" t="str">
        <f t="shared" si="23"/>
        <v>- - -</v>
      </c>
      <c r="CL35" s="779"/>
      <c r="CM35" s="778"/>
      <c r="CN35" s="780"/>
      <c r="CO35" s="777"/>
      <c r="CP35" s="778" t="str">
        <f t="shared" si="24"/>
        <v>- - -</v>
      </c>
      <c r="CQ35" s="779"/>
      <c r="CR35" s="778"/>
      <c r="CS35" s="780"/>
      <c r="CT35" s="781"/>
      <c r="CU35" s="782" t="str">
        <f t="shared" si="25"/>
        <v>---</v>
      </c>
      <c r="CV35" s="783" t="str">
        <f t="shared" si="26"/>
        <v>/-/ /-/</v>
      </c>
      <c r="CW35" s="784">
        <f t="shared" si="27"/>
        <v>11</v>
      </c>
      <c r="CX35" s="783">
        <f t="shared" si="28"/>
        <v>2025</v>
      </c>
      <c r="CY35" s="784">
        <f t="shared" si="29"/>
        <v>8</v>
      </c>
      <c r="CZ35" s="783">
        <f t="shared" si="30"/>
        <v>2025</v>
      </c>
      <c r="DA35" s="784">
        <f t="shared" si="31"/>
        <v>5</v>
      </c>
      <c r="DB35" s="785">
        <f t="shared" si="32"/>
        <v>2025</v>
      </c>
      <c r="DC35" s="786" t="str">
        <f t="shared" si="33"/>
        <v>- - -</v>
      </c>
      <c r="DD35" s="786" t="str">
        <f t="shared" si="34"/>
        <v>. .</v>
      </c>
      <c r="DE35" s="736"/>
      <c r="DF35" s="736">
        <f t="shared" si="35"/>
        <v>720</v>
      </c>
      <c r="DG35" s="736">
        <f t="shared" si="36"/>
        <v>-23578</v>
      </c>
      <c r="DH35" s="736">
        <f t="shared" si="37"/>
        <v>-1965</v>
      </c>
      <c r="DI35" s="736" t="str">
        <f t="shared" si="38"/>
        <v>Nam dưới 35</v>
      </c>
      <c r="DJ35" s="736"/>
      <c r="DK35" s="762"/>
      <c r="DL35" s="778" t="str">
        <f t="shared" si="39"/>
        <v>Đến 30</v>
      </c>
      <c r="DM35" s="787" t="str">
        <f t="shared" si="40"/>
        <v>--</v>
      </c>
      <c r="DN35" s="720"/>
      <c r="DO35" s="788"/>
      <c r="DP35" s="787"/>
      <c r="DQ35" s="780"/>
      <c r="DR35" s="789"/>
      <c r="DS35" s="790"/>
      <c r="DT35" s="791"/>
      <c r="DU35" s="792"/>
      <c r="DV35" s="793"/>
      <c r="DW35" s="753" t="s">
        <v>86</v>
      </c>
      <c r="DX35" s="755" t="s">
        <v>416</v>
      </c>
      <c r="DY35" s="755" t="s">
        <v>86</v>
      </c>
      <c r="DZ35" s="755" t="s">
        <v>342</v>
      </c>
      <c r="EA35" s="794" t="s">
        <v>360</v>
      </c>
      <c r="EB35" s="755" t="s">
        <v>343</v>
      </c>
      <c r="EC35" s="795" t="s">
        <v>360</v>
      </c>
      <c r="ED35" s="753" t="s">
        <v>378</v>
      </c>
      <c r="EE35" s="755">
        <f t="shared" si="46"/>
        <v>0</v>
      </c>
      <c r="EF35" s="755" t="str">
        <f t="shared" si="47"/>
        <v>- - -</v>
      </c>
      <c r="EG35" s="755" t="s">
        <v>342</v>
      </c>
      <c r="EH35" s="794" t="s">
        <v>360</v>
      </c>
      <c r="EI35" s="720" t="s">
        <v>343</v>
      </c>
      <c r="EJ35" s="777" t="s">
        <v>360</v>
      </c>
      <c r="EK35" s="796" t="s">
        <v>378</v>
      </c>
      <c r="EL35" s="792"/>
      <c r="EM35" s="797" t="str">
        <f t="shared" si="41"/>
        <v>- - -</v>
      </c>
      <c r="EN35" s="797" t="str">
        <f t="shared" si="42"/>
        <v>---</v>
      </c>
      <c r="EO35" s="797"/>
      <c r="EP35" s="797"/>
      <c r="EQ35" s="797"/>
      <c r="ER35" s="797"/>
      <c r="ES35" s="797"/>
      <c r="ET35" s="797"/>
      <c r="EU35" s="797"/>
      <c r="EV35" s="797"/>
      <c r="EW35" s="797"/>
      <c r="EX35" s="797"/>
      <c r="EY35" s="797"/>
      <c r="EZ35" s="797"/>
      <c r="FA35" s="797"/>
      <c r="FB35" s="797"/>
      <c r="FC35" s="797"/>
      <c r="FD35" s="797"/>
      <c r="FE35" s="797"/>
      <c r="FF35" s="797"/>
      <c r="FG35" s="797"/>
      <c r="FH35" s="797"/>
      <c r="FI35" s="797"/>
      <c r="FJ35" s="797"/>
      <c r="FK35" s="798"/>
      <c r="FL35" s="798"/>
      <c r="FM35" s="798"/>
      <c r="FN35" s="798"/>
      <c r="FO35" s="798"/>
    </row>
    <row r="36" spans="1:171" s="800" customFormat="1" ht="45" customHeight="1" x14ac:dyDescent="0.2">
      <c r="A36" s="915">
        <v>746</v>
      </c>
      <c r="C36" s="909"/>
      <c r="D36" s="910"/>
      <c r="E36" s="911"/>
      <c r="F36" s="912"/>
      <c r="G36" s="913"/>
      <c r="H36" s="910"/>
      <c r="I36" s="916"/>
      <c r="J36" s="916"/>
      <c r="K36" s="916"/>
      <c r="L36" s="916"/>
      <c r="M36" s="916"/>
      <c r="N36" s="916"/>
      <c r="O36" s="916"/>
      <c r="P36" s="916"/>
      <c r="Q36" s="917"/>
      <c r="R36" s="917"/>
      <c r="S36" s="918"/>
      <c r="T36" s="918"/>
      <c r="U36" s="918"/>
      <c r="V36" s="919"/>
      <c r="W36" s="920"/>
      <c r="X36" s="2312" t="s">
        <v>663</v>
      </c>
      <c r="Y36" s="2312"/>
      <c r="Z36" s="2312"/>
      <c r="AA36" s="2312"/>
      <c r="AB36" s="2312"/>
      <c r="AC36" s="2312"/>
      <c r="AD36" s="2312"/>
      <c r="AE36" s="2312"/>
      <c r="AF36" s="2312"/>
      <c r="AG36" s="2312"/>
      <c r="AH36" s="2312"/>
      <c r="AI36" s="2312"/>
      <c r="AJ36" s="2312"/>
      <c r="AK36" s="2312"/>
      <c r="AL36" s="2312"/>
      <c r="AM36" s="2312"/>
      <c r="AN36" s="2312"/>
      <c r="AO36" s="2312"/>
      <c r="AP36" s="2312"/>
      <c r="AQ36" s="2312"/>
      <c r="AR36" s="2312"/>
      <c r="AS36" s="2312"/>
      <c r="AT36" s="2312"/>
      <c r="AU36" s="2312"/>
      <c r="AV36" s="2312"/>
      <c r="AW36" s="2312"/>
      <c r="AX36" s="2312"/>
      <c r="AY36" s="2312"/>
      <c r="AZ36" s="2312"/>
      <c r="BA36" s="2312"/>
      <c r="BB36" s="2312"/>
      <c r="BC36" s="2312"/>
      <c r="BD36" s="2312"/>
      <c r="BE36" s="2312"/>
      <c r="BF36" s="2312"/>
      <c r="BG36" s="2312"/>
      <c r="BH36" s="2312"/>
      <c r="BI36" s="2312"/>
      <c r="BJ36" s="2312"/>
      <c r="BK36" s="2312"/>
      <c r="BL36" s="2312"/>
      <c r="BM36" s="2312"/>
      <c r="BN36" s="2312"/>
      <c r="BO36" s="2312"/>
      <c r="BP36" s="2312"/>
      <c r="BQ36" s="2312"/>
      <c r="BR36" s="2312"/>
      <c r="BS36" s="2312"/>
      <c r="BT36" s="2312"/>
      <c r="BU36" s="2312"/>
      <c r="BV36" s="2145"/>
      <c r="BW36" s="2145"/>
      <c r="BX36" s="2145"/>
      <c r="BY36" s="2145"/>
      <c r="BZ36" s="2145"/>
      <c r="CA36" s="2145"/>
      <c r="CB36" s="2145"/>
      <c r="CC36" s="2145"/>
      <c r="CD36" s="830"/>
      <c r="CE36" s="934"/>
      <c r="CF36" s="935"/>
      <c r="CG36" s="936"/>
      <c r="CH36" s="843"/>
      <c r="CI36" s="813"/>
      <c r="CJ36" s="921"/>
      <c r="CK36" s="922"/>
      <c r="CL36" s="780"/>
      <c r="CM36" s="923"/>
      <c r="CN36" s="924"/>
      <c r="CO36" s="924"/>
      <c r="CP36" s="780"/>
      <c r="CQ36" s="790"/>
      <c r="CR36" s="720"/>
      <c r="CS36" s="720"/>
      <c r="DJ36" s="925"/>
      <c r="DK36" s="926"/>
      <c r="DL36" s="751"/>
      <c r="DM36" s="927"/>
      <c r="DN36" s="928"/>
      <c r="DO36" s="759"/>
      <c r="DP36" s="929"/>
      <c r="DQ36" s="930"/>
      <c r="DR36" s="931"/>
      <c r="DS36" s="932"/>
      <c r="DT36" s="932"/>
      <c r="DU36" s="929"/>
      <c r="DV36" s="781"/>
      <c r="DW36" s="782"/>
      <c r="DX36" s="933"/>
      <c r="DY36" s="933"/>
    </row>
    <row r="37" spans="1:171" s="800" customFormat="1" ht="63.75" customHeight="1" x14ac:dyDescent="0.2">
      <c r="A37" s="939"/>
      <c r="B37" s="901"/>
      <c r="C37" s="909"/>
      <c r="D37" s="2201"/>
      <c r="E37" s="2201"/>
      <c r="F37" s="2201"/>
      <c r="G37" s="2201"/>
      <c r="H37" s="2201"/>
      <c r="I37" s="2201"/>
      <c r="J37" s="2201"/>
      <c r="K37" s="2201"/>
      <c r="L37" s="2201"/>
      <c r="M37" s="2201"/>
      <c r="N37" s="2201"/>
      <c r="O37" s="2201"/>
      <c r="P37" s="2201"/>
      <c r="Q37" s="2201"/>
      <c r="R37" s="2201"/>
      <c r="S37" s="918"/>
      <c r="T37" s="918"/>
      <c r="U37" s="918"/>
      <c r="V37" s="919"/>
      <c r="W37" s="920"/>
      <c r="X37" s="2359" t="s">
        <v>308</v>
      </c>
      <c r="Y37" s="2359"/>
      <c r="Z37" s="2359"/>
      <c r="AA37" s="2359"/>
      <c r="AB37" s="2359"/>
      <c r="AC37" s="2359"/>
      <c r="AD37" s="2359"/>
      <c r="AE37" s="2359"/>
      <c r="AF37" s="2359"/>
      <c r="AG37" s="2359"/>
      <c r="AH37" s="2359"/>
      <c r="AI37" s="2359"/>
      <c r="AJ37" s="2359"/>
      <c r="AK37" s="2359"/>
      <c r="AL37" s="2359"/>
      <c r="AM37" s="2359"/>
      <c r="AN37" s="2359"/>
      <c r="AO37" s="2359"/>
      <c r="AP37" s="2359"/>
      <c r="AQ37" s="2359"/>
      <c r="AR37" s="2359"/>
      <c r="AS37" s="2359"/>
      <c r="AT37" s="2359"/>
      <c r="AU37" s="2359"/>
      <c r="AV37" s="2359"/>
      <c r="AW37" s="2359"/>
      <c r="AX37" s="2359"/>
      <c r="AY37" s="2359"/>
      <c r="AZ37" s="2359"/>
      <c r="BA37" s="2359"/>
      <c r="BB37" s="2359"/>
      <c r="BC37" s="2359"/>
      <c r="BD37" s="2359"/>
      <c r="BE37" s="2359"/>
      <c r="BF37" s="2359"/>
      <c r="BG37" s="2359"/>
      <c r="BH37" s="2359"/>
      <c r="BI37" s="2359"/>
      <c r="BJ37" s="2359"/>
      <c r="BK37" s="2359"/>
      <c r="BL37" s="2359"/>
      <c r="BM37" s="2359"/>
      <c r="BN37" s="2359"/>
      <c r="BO37" s="2359"/>
      <c r="BP37" s="2359"/>
      <c r="BQ37" s="2359"/>
      <c r="BR37" s="2359"/>
      <c r="BS37" s="2359"/>
      <c r="BT37" s="2359"/>
      <c r="BU37" s="2359"/>
      <c r="BV37" s="2144"/>
      <c r="BW37" s="2144"/>
      <c r="BX37" s="2144"/>
      <c r="BY37" s="2144"/>
      <c r="BZ37" s="2144"/>
      <c r="CA37" s="2144"/>
      <c r="CB37" s="2144"/>
      <c r="CC37" s="2144"/>
      <c r="CD37" s="938"/>
      <c r="CE37" s="837"/>
      <c r="CF37" s="815"/>
      <c r="CG37" s="813"/>
      <c r="CH37" s="843"/>
      <c r="CI37" s="813"/>
      <c r="CJ37" s="921"/>
      <c r="CK37" s="922"/>
      <c r="CL37" s="941"/>
      <c r="CM37" s="923"/>
      <c r="CN37" s="924"/>
      <c r="CO37" s="924"/>
      <c r="CP37" s="942"/>
      <c r="CQ37" s="943"/>
      <c r="CR37" s="915"/>
      <c r="CS37" s="944"/>
      <c r="DJ37" s="925"/>
      <c r="DK37" s="926"/>
      <c r="DL37" s="752"/>
      <c r="DM37" s="945"/>
      <c r="DN37" s="928"/>
      <c r="DO37" s="946"/>
      <c r="DP37" s="947"/>
      <c r="DQ37" s="948"/>
      <c r="DR37" s="949"/>
      <c r="DS37" s="932"/>
      <c r="DT37" s="932"/>
      <c r="DU37" s="947"/>
      <c r="DV37" s="950"/>
      <c r="DW37" s="951"/>
      <c r="DX37" s="952"/>
      <c r="DY37" s="952"/>
    </row>
    <row r="38" spans="1:171" s="800" customFormat="1" ht="29.25" customHeight="1" x14ac:dyDescent="0.25">
      <c r="A38" s="939"/>
      <c r="B38" s="901"/>
      <c r="C38" s="909"/>
      <c r="D38" s="940"/>
      <c r="E38" s="940"/>
      <c r="F38" s="940"/>
      <c r="G38" s="940"/>
      <c r="H38" s="940"/>
      <c r="I38" s="940"/>
      <c r="J38" s="940"/>
      <c r="K38" s="940"/>
      <c r="L38" s="940"/>
      <c r="M38" s="940"/>
      <c r="N38" s="940"/>
      <c r="O38" s="940"/>
      <c r="P38" s="940"/>
      <c r="Q38" s="940"/>
      <c r="R38" s="940"/>
      <c r="S38" s="918"/>
      <c r="T38" s="918"/>
      <c r="U38" s="918"/>
      <c r="V38" s="919"/>
      <c r="W38" s="920"/>
      <c r="X38" s="2313" t="s">
        <v>152</v>
      </c>
      <c r="Y38" s="2313"/>
      <c r="Z38" s="2313"/>
      <c r="AA38" s="2313"/>
      <c r="AB38" s="2313"/>
      <c r="AC38" s="2313"/>
      <c r="AD38" s="2313"/>
      <c r="AE38" s="2313"/>
      <c r="AF38" s="2313"/>
      <c r="AG38" s="2313"/>
      <c r="AH38" s="2313"/>
      <c r="AI38" s="2313"/>
      <c r="AJ38" s="2313"/>
      <c r="AK38" s="2313"/>
      <c r="AL38" s="2313"/>
      <c r="AM38" s="2313"/>
      <c r="AN38" s="2313"/>
      <c r="AO38" s="2313"/>
      <c r="AP38" s="2313"/>
      <c r="AQ38" s="2313"/>
      <c r="AR38" s="2313"/>
      <c r="AS38" s="2313"/>
      <c r="AT38" s="2313"/>
      <c r="AU38" s="2313"/>
      <c r="AV38" s="2313"/>
      <c r="AW38" s="2313"/>
      <c r="AX38" s="2313"/>
      <c r="AY38" s="2313"/>
      <c r="AZ38" s="2313"/>
      <c r="BA38" s="2313"/>
      <c r="BB38" s="2313"/>
      <c r="BC38" s="2313"/>
      <c r="BD38" s="2313"/>
      <c r="BE38" s="2313"/>
      <c r="BF38" s="2313"/>
      <c r="BG38" s="2313"/>
      <c r="BH38" s="2313"/>
      <c r="BI38" s="2313"/>
      <c r="BJ38" s="2313"/>
      <c r="BK38" s="2313"/>
      <c r="BL38" s="2313"/>
      <c r="BM38" s="2313"/>
      <c r="BN38" s="2313"/>
      <c r="BO38" s="2313"/>
      <c r="BP38" s="2313"/>
      <c r="BQ38" s="2313"/>
      <c r="BR38" s="2313"/>
      <c r="BS38" s="2313"/>
      <c r="BT38" s="2313"/>
      <c r="BU38" s="2313"/>
      <c r="BV38" s="2144"/>
      <c r="BW38" s="2144"/>
      <c r="BX38" s="2144"/>
      <c r="BY38" s="2144"/>
      <c r="BZ38" s="2144"/>
      <c r="CA38" s="2144"/>
      <c r="CB38" s="2144"/>
      <c r="CC38" s="2144"/>
      <c r="CD38" s="938"/>
      <c r="CE38" s="837"/>
      <c r="CF38" s="815"/>
      <c r="CG38" s="813"/>
      <c r="CH38" s="843"/>
      <c r="CI38" s="813"/>
      <c r="CJ38" s="921"/>
      <c r="CK38" s="922"/>
      <c r="CL38" s="941"/>
      <c r="CM38" s="923"/>
      <c r="CN38" s="924"/>
      <c r="CO38" s="924"/>
      <c r="CP38" s="942"/>
      <c r="CQ38" s="943"/>
      <c r="CR38" s="915"/>
      <c r="CS38" s="944"/>
      <c r="DJ38" s="925"/>
      <c r="DK38" s="926"/>
      <c r="DL38" s="752"/>
      <c r="DM38" s="945"/>
      <c r="DN38" s="928"/>
      <c r="DO38" s="946"/>
      <c r="DP38" s="947"/>
      <c r="DQ38" s="948"/>
      <c r="DR38" s="949"/>
      <c r="DS38" s="932"/>
      <c r="DT38" s="932"/>
      <c r="DU38" s="947"/>
      <c r="DV38" s="950"/>
      <c r="DW38" s="951"/>
      <c r="DX38" s="952"/>
      <c r="DY38" s="952"/>
    </row>
    <row r="39" spans="1:171" s="800" customFormat="1" ht="27.75" customHeight="1" x14ac:dyDescent="0.2">
      <c r="A39" s="939"/>
      <c r="B39" s="901"/>
      <c r="C39" s="909"/>
      <c r="D39" s="940"/>
      <c r="E39" s="940"/>
      <c r="F39" s="940"/>
      <c r="G39" s="940"/>
      <c r="H39" s="940"/>
      <c r="I39" s="940"/>
      <c r="J39" s="940"/>
      <c r="K39" s="940"/>
      <c r="L39" s="940"/>
      <c r="M39" s="940"/>
      <c r="N39" s="940"/>
      <c r="O39" s="940"/>
      <c r="P39" s="940"/>
      <c r="Q39" s="940"/>
      <c r="R39" s="940"/>
      <c r="S39" s="918"/>
      <c r="T39" s="918"/>
      <c r="U39" s="918"/>
      <c r="V39" s="919"/>
      <c r="W39" s="920"/>
      <c r="X39" s="908"/>
      <c r="Y39" s="908"/>
      <c r="Z39" s="908"/>
      <c r="AA39" s="908"/>
      <c r="AB39" s="908"/>
      <c r="AC39" s="908"/>
      <c r="AD39" s="908"/>
      <c r="AE39" s="908"/>
      <c r="AF39" s="908"/>
      <c r="AG39" s="908"/>
      <c r="AH39" s="908"/>
      <c r="AI39" s="908"/>
      <c r="AJ39" s="908"/>
      <c r="AK39" s="908"/>
      <c r="AL39" s="908"/>
      <c r="AM39" s="908"/>
      <c r="AN39" s="908"/>
      <c r="AO39" s="908"/>
      <c r="AP39" s="908"/>
      <c r="AQ39" s="908"/>
      <c r="AR39" s="908"/>
      <c r="AS39" s="908"/>
      <c r="AT39" s="908"/>
      <c r="AU39" s="908"/>
      <c r="AV39" s="908"/>
      <c r="AW39" s="908"/>
      <c r="AX39" s="908"/>
      <c r="AY39" s="908"/>
      <c r="AZ39" s="908"/>
      <c r="BA39" s="908"/>
      <c r="BB39" s="908"/>
      <c r="BC39" s="908"/>
      <c r="BD39" s="908"/>
      <c r="BE39" s="908"/>
      <c r="BF39" s="908"/>
      <c r="BG39" s="908"/>
      <c r="BH39" s="908"/>
      <c r="BI39" s="908"/>
      <c r="BJ39" s="1269"/>
      <c r="BK39" s="908"/>
      <c r="BL39" s="908"/>
      <c r="BM39" s="908"/>
      <c r="BN39" s="908"/>
      <c r="BO39" s="908"/>
      <c r="BP39" s="908"/>
      <c r="BQ39" s="908"/>
      <c r="BR39" s="908"/>
      <c r="BS39" s="908"/>
      <c r="BT39" s="908"/>
      <c r="BU39" s="908"/>
      <c r="BV39" s="937"/>
      <c r="BW39" s="937"/>
      <c r="BX39" s="937"/>
      <c r="BY39" s="937"/>
      <c r="BZ39" s="937"/>
      <c r="CA39" s="937"/>
      <c r="CB39" s="937"/>
      <c r="CC39" s="937"/>
      <c r="CD39" s="938"/>
      <c r="CE39" s="837"/>
      <c r="CF39" s="815"/>
      <c r="CG39" s="813"/>
      <c r="CH39" s="843"/>
      <c r="CI39" s="813"/>
      <c r="CJ39" s="921"/>
      <c r="CK39" s="922"/>
      <c r="CL39" s="941"/>
      <c r="CM39" s="923"/>
      <c r="CN39" s="924"/>
      <c r="CO39" s="924"/>
      <c r="CP39" s="942"/>
      <c r="CQ39" s="943"/>
      <c r="CR39" s="915"/>
      <c r="CS39" s="944"/>
      <c r="DJ39" s="925"/>
      <c r="DK39" s="926"/>
      <c r="DL39" s="752"/>
      <c r="DM39" s="945"/>
      <c r="DN39" s="928"/>
      <c r="DO39" s="946"/>
      <c r="DP39" s="947"/>
      <c r="DQ39" s="948"/>
      <c r="DR39" s="949"/>
      <c r="DS39" s="932"/>
      <c r="DT39" s="932"/>
      <c r="DU39" s="947"/>
      <c r="DV39" s="950"/>
      <c r="DW39" s="951"/>
      <c r="DX39" s="952"/>
      <c r="DY39" s="952"/>
    </row>
    <row r="40" spans="1:171" s="800" customFormat="1" ht="109.5" customHeight="1" x14ac:dyDescent="0.2">
      <c r="A40" s="939"/>
      <c r="B40" s="901"/>
      <c r="C40" s="909"/>
      <c r="D40" s="940"/>
      <c r="E40" s="940"/>
      <c r="F40" s="940"/>
      <c r="G40" s="940"/>
      <c r="H40" s="940"/>
      <c r="I40" s="940"/>
      <c r="J40" s="940"/>
      <c r="K40" s="940"/>
      <c r="L40" s="940"/>
      <c r="M40" s="940"/>
      <c r="N40" s="940"/>
      <c r="O40" s="940"/>
      <c r="P40" s="940"/>
      <c r="Q40" s="940"/>
      <c r="R40" s="940"/>
      <c r="S40" s="918"/>
      <c r="T40" s="918"/>
      <c r="U40" s="918"/>
      <c r="V40" s="919"/>
      <c r="W40" s="920"/>
      <c r="X40" s="908"/>
      <c r="Y40" s="908"/>
      <c r="Z40" s="908"/>
      <c r="AA40" s="908"/>
      <c r="AB40" s="908"/>
      <c r="AC40" s="908"/>
      <c r="AD40" s="908"/>
      <c r="AE40" s="908"/>
      <c r="AF40" s="908"/>
      <c r="AG40" s="908"/>
      <c r="AH40" s="908"/>
      <c r="AI40" s="908"/>
      <c r="AJ40" s="908"/>
      <c r="AK40" s="908"/>
      <c r="AL40" s="908"/>
      <c r="AM40" s="908"/>
      <c r="AN40" s="908"/>
      <c r="AO40" s="908"/>
      <c r="AP40" s="908"/>
      <c r="AQ40" s="908"/>
      <c r="AR40" s="908"/>
      <c r="AS40" s="908"/>
      <c r="AT40" s="908"/>
      <c r="AU40" s="908"/>
      <c r="AV40" s="908"/>
      <c r="AW40" s="908"/>
      <c r="AX40" s="908"/>
      <c r="AY40" s="908"/>
      <c r="AZ40" s="908"/>
      <c r="BA40" s="908"/>
      <c r="BB40" s="908"/>
      <c r="BC40" s="908"/>
      <c r="BD40" s="908"/>
      <c r="BE40" s="908"/>
      <c r="BF40" s="908"/>
      <c r="BG40" s="908"/>
      <c r="BH40" s="908"/>
      <c r="BI40" s="908"/>
      <c r="BJ40" s="1269"/>
      <c r="BK40" s="908"/>
      <c r="BL40" s="908"/>
      <c r="BM40" s="908"/>
      <c r="BN40" s="908"/>
      <c r="BO40" s="908"/>
      <c r="BP40" s="908"/>
      <c r="BQ40" s="908"/>
      <c r="BR40" s="908"/>
      <c r="BS40" s="908"/>
      <c r="BT40" s="908"/>
      <c r="BU40" s="908"/>
      <c r="BV40" s="937"/>
      <c r="BW40" s="937"/>
      <c r="BX40" s="937"/>
      <c r="BY40" s="937"/>
      <c r="BZ40" s="937"/>
      <c r="CA40" s="937"/>
      <c r="CB40" s="937"/>
      <c r="CC40" s="937"/>
      <c r="CD40" s="938"/>
      <c r="CE40" s="837"/>
      <c r="CF40" s="815"/>
      <c r="CG40" s="813"/>
      <c r="CH40" s="843"/>
      <c r="CI40" s="813"/>
      <c r="CJ40" s="921"/>
      <c r="CK40" s="922"/>
      <c r="CL40" s="941"/>
      <c r="CM40" s="923"/>
      <c r="CN40" s="924"/>
      <c r="CO40" s="924"/>
      <c r="CP40" s="942"/>
      <c r="CQ40" s="943"/>
      <c r="CR40" s="915"/>
      <c r="CS40" s="944"/>
      <c r="DJ40" s="925"/>
      <c r="DK40" s="926"/>
      <c r="DL40" s="752"/>
      <c r="DM40" s="945"/>
      <c r="DN40" s="928"/>
      <c r="DO40" s="946"/>
      <c r="DP40" s="947"/>
      <c r="DQ40" s="948"/>
      <c r="DR40" s="949"/>
      <c r="DS40" s="932"/>
      <c r="DT40" s="932"/>
      <c r="DU40" s="947"/>
      <c r="DV40" s="950"/>
      <c r="DW40" s="951"/>
      <c r="DX40" s="952"/>
      <c r="DY40" s="952"/>
    </row>
    <row r="41" spans="1:171" s="800" customFormat="1" ht="138.75" customHeight="1" x14ac:dyDescent="0.2">
      <c r="A41" s="939"/>
      <c r="B41" s="901"/>
      <c r="C41" s="909"/>
      <c r="D41" s="940"/>
      <c r="E41" s="940"/>
      <c r="F41" s="940"/>
      <c r="G41" s="940"/>
      <c r="H41" s="940"/>
      <c r="I41" s="940"/>
      <c r="J41" s="940"/>
      <c r="K41" s="940"/>
      <c r="L41" s="940"/>
      <c r="M41" s="940"/>
      <c r="N41" s="940"/>
      <c r="O41" s="940"/>
      <c r="P41" s="940"/>
      <c r="Q41" s="940"/>
      <c r="R41" s="940"/>
      <c r="S41" s="918"/>
      <c r="T41" s="918"/>
      <c r="U41" s="918"/>
      <c r="V41" s="919"/>
      <c r="W41" s="920"/>
      <c r="X41" s="908"/>
      <c r="Y41" s="908"/>
      <c r="Z41" s="908"/>
      <c r="AA41" s="908"/>
      <c r="AB41" s="908"/>
      <c r="AC41" s="908"/>
      <c r="AD41" s="908"/>
      <c r="AE41" s="908"/>
      <c r="AF41" s="908"/>
      <c r="AG41" s="908"/>
      <c r="AH41" s="908"/>
      <c r="AI41" s="908"/>
      <c r="AJ41" s="908"/>
      <c r="AK41" s="908"/>
      <c r="AL41" s="908"/>
      <c r="AM41" s="908"/>
      <c r="AN41" s="908"/>
      <c r="AO41" s="908"/>
      <c r="AP41" s="908"/>
      <c r="AQ41" s="908"/>
      <c r="AR41" s="908"/>
      <c r="AS41" s="908"/>
      <c r="AT41" s="908"/>
      <c r="AU41" s="908"/>
      <c r="AV41" s="908"/>
      <c r="AW41" s="908"/>
      <c r="AX41" s="908"/>
      <c r="AY41" s="908"/>
      <c r="AZ41" s="908"/>
      <c r="BA41" s="908"/>
      <c r="BB41" s="908"/>
      <c r="BC41" s="908"/>
      <c r="BD41" s="908"/>
      <c r="BE41" s="908"/>
      <c r="BF41" s="908"/>
      <c r="BG41" s="908"/>
      <c r="BH41" s="908"/>
      <c r="BI41" s="908"/>
      <c r="BJ41" s="1269"/>
      <c r="BK41" s="908"/>
      <c r="BL41" s="908"/>
      <c r="BM41" s="908"/>
      <c r="BN41" s="908"/>
      <c r="BO41" s="908"/>
      <c r="BP41" s="908"/>
      <c r="BQ41" s="908"/>
      <c r="BR41" s="908"/>
      <c r="BS41" s="908"/>
      <c r="BT41" s="908"/>
      <c r="BU41" s="908"/>
      <c r="BV41" s="937"/>
      <c r="BW41" s="937"/>
      <c r="BX41" s="937"/>
      <c r="BY41" s="937"/>
      <c r="BZ41" s="937"/>
      <c r="CA41" s="937"/>
      <c r="CB41" s="937"/>
      <c r="CC41" s="937"/>
      <c r="CD41" s="938"/>
      <c r="CE41" s="837"/>
      <c r="CF41" s="815"/>
      <c r="CG41" s="813"/>
      <c r="CH41" s="843"/>
      <c r="CI41" s="813"/>
      <c r="CJ41" s="921"/>
      <c r="CK41" s="922"/>
      <c r="CL41" s="941"/>
      <c r="CM41" s="923"/>
      <c r="CN41" s="924"/>
      <c r="CO41" s="924"/>
      <c r="CP41" s="942"/>
      <c r="CQ41" s="943"/>
      <c r="CR41" s="915"/>
      <c r="CS41" s="944"/>
      <c r="DJ41" s="925"/>
      <c r="DK41" s="926"/>
      <c r="DL41" s="752"/>
      <c r="DM41" s="945"/>
      <c r="DN41" s="928"/>
      <c r="DO41" s="946"/>
      <c r="DP41" s="947"/>
      <c r="DQ41" s="948"/>
      <c r="DR41" s="949"/>
      <c r="DS41" s="932"/>
      <c r="DT41" s="932"/>
      <c r="DU41" s="947"/>
      <c r="DV41" s="950"/>
      <c r="DW41" s="951"/>
      <c r="DX41" s="952"/>
      <c r="DY41" s="952"/>
    </row>
    <row r="42" spans="1:171" s="800" customFormat="1" ht="44.25" customHeight="1" x14ac:dyDescent="0.2">
      <c r="A42" s="953"/>
      <c r="B42" s="901"/>
      <c r="C42" s="909"/>
      <c r="D42" s="940"/>
      <c r="E42" s="940"/>
      <c r="F42" s="940"/>
      <c r="G42" s="940"/>
      <c r="H42" s="940"/>
      <c r="I42" s="940"/>
      <c r="J42" s="940"/>
      <c r="K42" s="940"/>
      <c r="L42" s="940"/>
      <c r="M42" s="940"/>
      <c r="N42" s="940"/>
      <c r="O42" s="940"/>
      <c r="P42" s="940"/>
      <c r="Q42" s="940"/>
      <c r="R42" s="940"/>
      <c r="S42" s="918"/>
      <c r="T42" s="918"/>
      <c r="U42" s="918"/>
      <c r="V42" s="919"/>
      <c r="W42" s="920"/>
      <c r="X42" s="908"/>
      <c r="Y42" s="908"/>
      <c r="Z42" s="908"/>
      <c r="AA42" s="908"/>
      <c r="AB42" s="908"/>
      <c r="AC42" s="908"/>
      <c r="AD42" s="908"/>
      <c r="AE42" s="908"/>
      <c r="AF42" s="908"/>
      <c r="AG42" s="908"/>
      <c r="AH42" s="908"/>
      <c r="AI42" s="908"/>
      <c r="AJ42" s="908"/>
      <c r="AK42" s="908"/>
      <c r="AL42" s="908"/>
      <c r="AM42" s="908"/>
      <c r="AN42" s="908"/>
      <c r="AO42" s="908"/>
      <c r="AP42" s="908"/>
      <c r="AQ42" s="908"/>
      <c r="AR42" s="908"/>
      <c r="AS42" s="908"/>
      <c r="AT42" s="908"/>
      <c r="AU42" s="908"/>
      <c r="AV42" s="908"/>
      <c r="AW42" s="908"/>
      <c r="AX42" s="908"/>
      <c r="AY42" s="908"/>
      <c r="AZ42" s="908"/>
      <c r="BA42" s="908"/>
      <c r="BB42" s="908"/>
      <c r="BC42" s="908"/>
      <c r="BD42" s="908"/>
      <c r="BE42" s="908"/>
      <c r="BF42" s="908"/>
      <c r="BG42" s="908"/>
      <c r="BH42" s="908"/>
      <c r="BI42" s="908"/>
      <c r="BJ42" s="1269"/>
      <c r="BK42" s="908"/>
      <c r="BL42" s="908"/>
      <c r="BM42" s="908"/>
      <c r="BN42" s="908"/>
      <c r="BO42" s="908"/>
      <c r="BP42" s="908"/>
      <c r="BQ42" s="908"/>
      <c r="BR42" s="908"/>
      <c r="BS42" s="908"/>
      <c r="BT42" s="908"/>
      <c r="BU42" s="908"/>
      <c r="BV42" s="937"/>
      <c r="BW42" s="937"/>
      <c r="BX42" s="937"/>
      <c r="BY42" s="937"/>
      <c r="BZ42" s="937"/>
      <c r="CA42" s="937"/>
      <c r="CB42" s="937"/>
      <c r="CC42" s="937"/>
      <c r="CD42" s="938"/>
      <c r="CE42" s="837"/>
      <c r="CF42" s="815"/>
      <c r="CG42" s="813"/>
      <c r="CH42" s="843"/>
      <c r="CI42" s="813"/>
      <c r="CJ42" s="921"/>
      <c r="CK42" s="954"/>
      <c r="CL42" s="955"/>
      <c r="CM42" s="956"/>
      <c r="CN42" s="957"/>
      <c r="CO42" s="957"/>
      <c r="CP42" s="958"/>
      <c r="CQ42" s="959"/>
      <c r="CR42" s="936"/>
      <c r="CS42" s="960"/>
      <c r="DJ42" s="961"/>
      <c r="DK42" s="926"/>
      <c r="DL42" s="962"/>
      <c r="DM42" s="963"/>
      <c r="DN42" s="964"/>
      <c r="DO42" s="965"/>
      <c r="DP42" s="966"/>
      <c r="DQ42" s="967"/>
      <c r="DR42" s="968"/>
      <c r="DS42" s="969"/>
      <c r="DT42" s="969"/>
      <c r="DU42" s="966"/>
      <c r="DV42" s="970"/>
      <c r="DW42" s="971"/>
      <c r="DX42" s="972"/>
      <c r="DY42" s="972"/>
    </row>
    <row r="43" spans="1:171" s="799" customFormat="1" ht="30.75" customHeight="1" x14ac:dyDescent="0.2">
      <c r="A43" s="720">
        <v>258</v>
      </c>
      <c r="B43" s="721">
        <v>7</v>
      </c>
      <c r="C43" s="720"/>
      <c r="D43" s="720" t="str">
        <f>IF(F43="Nam","Ông","Bà")</f>
        <v>Ông</v>
      </c>
      <c r="E43" s="722" t="s">
        <v>46</v>
      </c>
      <c r="F43" s="720" t="s">
        <v>379</v>
      </c>
      <c r="G43" s="723" t="s">
        <v>328</v>
      </c>
      <c r="H43" s="724" t="s">
        <v>360</v>
      </c>
      <c r="I43" s="725" t="s">
        <v>377</v>
      </c>
      <c r="J43" s="724" t="s">
        <v>360</v>
      </c>
      <c r="K43" s="726" t="s">
        <v>323</v>
      </c>
      <c r="L43" s="727" t="s">
        <v>452</v>
      </c>
      <c r="M43" s="728" t="str">
        <f>IF(L43="công chức","CC",IF(L43="viên chức","VC",IF(L43="người lao động","NLĐ","- - -")))</f>
        <v>VC</v>
      </c>
      <c r="N43" s="729"/>
      <c r="O43" s="730" t="e">
        <f>IF(AND((Q43+0)&gt;0.3,(Q43+0)&lt;1.5),"CVụ","- -")</f>
        <v>#N/A</v>
      </c>
      <c r="P43" s="731"/>
      <c r="Q43" s="732" t="e">
        <f>VLOOKUP(P43,'[2]- DLiêu Gốc -'!$C$2:$H$114,2,0)</f>
        <v>#N/A</v>
      </c>
      <c r="R43" s="801"/>
      <c r="S43" s="802" t="s">
        <v>123</v>
      </c>
      <c r="T43" s="733" t="str">
        <f>VLOOKUP(Y43,'[2]- DLiêu Gốc -'!$C$2:$H$60,5,0)</f>
        <v>A2</v>
      </c>
      <c r="U43" s="734" t="str">
        <f>VLOOKUP(Y43,'[2]- DLiêu Gốc -'!$C$2:$H$60,6,0)</f>
        <v>A2.1</v>
      </c>
      <c r="V43" s="803" t="s">
        <v>424</v>
      </c>
      <c r="W43" s="804" t="str">
        <f>IF(OR(Y43="Kỹ thuật viên đánh máy",Y43="Nhân viên đánh máy",Y43="Nhân viên kỹ thuật",Y43="Nhân viên văn thư",Y43="Nhân viên phục vụ",Y43="Lái xe cơ quan",Y43="Nhân viên bảo vệ"),"Nhân viên",Y43)</f>
        <v>Giảng viên chính (hạng II)</v>
      </c>
      <c r="X43" s="805" t="str">
        <f>IF(W43="Nhân viên","01.005",Z43)</f>
        <v>V.07.01.02</v>
      </c>
      <c r="Y43" s="735" t="s">
        <v>431</v>
      </c>
      <c r="Z43" s="735" t="str">
        <f>VLOOKUP(Y43,'[2]- DLiêu Gốc -'!$C$1:$H$132,2,0)</f>
        <v>V.07.01.02</v>
      </c>
      <c r="AA43" s="736" t="str">
        <f>IF(OR(AND(BB43=36,BA43=3),AND(BB43=24,BA43=2),AND(BB43=12,BA43=1)),"Đến $",IF(OR(AND(BB43&gt;36,BA43=3),AND(BB43&gt;24,BA43=2),AND(BB43&gt;12,BA43=1)),"Dừng $","Lương"))</f>
        <v>Lương</v>
      </c>
      <c r="AB43" s="737">
        <v>1</v>
      </c>
      <c r="AC43" s="738" t="str">
        <f>IF(AD43&gt;0,"/")</f>
        <v>/</v>
      </c>
      <c r="AD43" s="739">
        <f>IF(OR(BD43=0.18,BD43=0.2),12,IF(BD43=0.31,10,IF(BD43=0.33,9,IF(BD43=0.34,8,IF(BD43=0.36,6)))))</f>
        <v>8</v>
      </c>
      <c r="AE43" s="740">
        <f>BC43+(AB43-1)*BD43</f>
        <v>4.4000000000000004</v>
      </c>
      <c r="AF43" s="741"/>
      <c r="AG43" s="741"/>
      <c r="AH43" s="742"/>
      <c r="AI43" s="743"/>
      <c r="AJ43" s="744"/>
      <c r="AK43" s="743"/>
      <c r="AL43" s="745"/>
      <c r="AM43" s="746"/>
      <c r="AN43" s="747"/>
      <c r="AO43" s="748">
        <f>AB43+1</f>
        <v>2</v>
      </c>
      <c r="AP43" s="749" t="str">
        <f>IF(AD43=AB43,"%",IF(AD43&gt;AB43,"/"))</f>
        <v>/</v>
      </c>
      <c r="AQ43" s="750">
        <f>IF(AND(AD43=AB43,AO43=4),5,IF(AND(AD43=AB43,AO43&gt;4),AO43+1,IF(AD43&gt;AB43,AD43)))</f>
        <v>8</v>
      </c>
      <c r="AR43" s="751">
        <f>IF(AD43=AB43,"%",IF(AD43&gt;AB43,AE43+BD43))</f>
        <v>4.74</v>
      </c>
      <c r="AS43" s="752"/>
      <c r="AT43" s="753" t="s">
        <v>342</v>
      </c>
      <c r="AU43" s="754" t="s">
        <v>360</v>
      </c>
      <c r="AV43" s="755" t="s">
        <v>348</v>
      </c>
      <c r="AW43" s="754" t="s">
        <v>360</v>
      </c>
      <c r="AX43" s="756">
        <v>2015</v>
      </c>
      <c r="AY43" s="757"/>
      <c r="AZ43" s="758"/>
      <c r="BA43" s="759">
        <f>IF(AND(AD43&gt;AB43,OR(BD43=0.18,BD43=0.2)),2,IF(AND(AD43&gt;AB43,OR(BD43=0.31,BD43=0.33,BD43=0.34,BD43=0.36)),3,IF(AD43=AB43,1)))</f>
        <v>3</v>
      </c>
      <c r="BB43" s="760">
        <f>12*($AA$2-AX43)+($AA$3-AV43)-AM43</f>
        <v>-24187</v>
      </c>
      <c r="BC43" s="761">
        <f>VLOOKUP(Y43,'[2]- DLiêu Gốc -'!$C$1:$F$60,3,0)</f>
        <v>4.4000000000000004</v>
      </c>
      <c r="BD43" s="761">
        <f>VLOOKUP(Y43,'[2]- DLiêu Gốc -'!$C$1:$F$60,4,0)</f>
        <v>0.34</v>
      </c>
      <c r="BE43" s="762" t="str">
        <f>IF(AND(BF43&gt;3,BX43=12),"Đến %",IF(AND(BF43&gt;3,BX43&gt;12,BX43&lt;120),"Dừng %",IF(AND(BF43&gt;3,BX43&lt;12),"PCTN","o-o-o")))</f>
        <v>PCTN</v>
      </c>
      <c r="BF43" s="763">
        <v>15</v>
      </c>
      <c r="BG43" s="878" t="s">
        <v>333</v>
      </c>
      <c r="BH43" s="764" t="s">
        <v>342</v>
      </c>
      <c r="BI43" s="765" t="s">
        <v>360</v>
      </c>
      <c r="BJ43" s="766">
        <v>3</v>
      </c>
      <c r="BK43" s="806" t="s">
        <v>360</v>
      </c>
      <c r="BL43" s="807">
        <v>2017</v>
      </c>
      <c r="BM43" s="808"/>
      <c r="BN43" s="809"/>
      <c r="BO43" s="767">
        <f>IF(BF43&gt;3,BF43+1,0)</f>
        <v>16</v>
      </c>
      <c r="BP43" s="810" t="s">
        <v>333</v>
      </c>
      <c r="BQ43" s="811" t="s">
        <v>342</v>
      </c>
      <c r="BR43" s="754" t="s">
        <v>360</v>
      </c>
      <c r="BS43" s="768">
        <v>3</v>
      </c>
      <c r="BT43" s="812" t="s">
        <v>360</v>
      </c>
      <c r="BU43" s="792">
        <v>2018</v>
      </c>
      <c r="BV43" s="769"/>
      <c r="BW43" s="770">
        <v>3</v>
      </c>
      <c r="BX43" s="771">
        <f>IF(BF43&gt;3,(($BE$2-BU43)*12+($BE$3-BS43)-BM43),"- - -")</f>
        <v>-24219</v>
      </c>
      <c r="BY43" s="762" t="str">
        <f>IF(AND(CU43="Hưu",BF43&gt;3),12-(12*(DA43-BU43)+(CZ43-BS43))-BM43,"- - -")</f>
        <v>- - -</v>
      </c>
      <c r="BZ43" s="772" t="str">
        <f>IF(OR(S43="Ban Tổ chức - Cán bộ",S43="Văn phòng Học viện",S43="Phó Giám đốc Thường trực Học viện",S43="Phó Giám đốc Học viện"),"Chánh Văn phòng Học viện, Trưởng Ban Tổ chức - Cán bộ",IF(OR(S43="Trung tâm Ngoại ngữ",S43="Trung tâm Tin học hành chính và Công nghệ thông tin",S43="Trung tâm Tin học - Thư viện",S43="Phân viện khu vực Tây Nguyên"),"Chánh Văn phòng Học viện, Trưởng Ban Tổ chức - Cán bộ, "&amp;CONCATENATE("Giám đốc ",S43),IF(S43="Tạp chí Quản lý nhà nước","Chánh Văn phòng Học viện, Trưởng Ban Tổ chức - Cán bộ, "&amp;CONCATENATE("Tổng Biên tập ",S43),IF(S43="Văn phòng Đảng uỷ Học viện","Chánh Văn phòng Học viện, Trưởng Ban Tổ chức - Cán bộ, "&amp;CONCATENATE("Chánh",S43),IF(S43="Viện Nghiên cứu Khoa học hành chính","Chánh Văn phòng Học viện, Trưởng Ban Tổ chức - Cán bộ, "&amp;CONCATENATE("Viện Trưởng ",S43),IF(OR(S43="Cơ sở Học viện Hành chính Quốc gia khu vực miền Trung",S43="Cơ sở Học viện Hành chính Quốc gia tại Thành phố Hồ Chí Minh"),"Chánh Văn phòng Học viện, Trưởng Ban Tổ chức - Cán bộ, "&amp;CONCATENATE("Thủ trưởng ",S43),"Chánh Văn phòng Học viện, Trưởng Ban Tổ chức - Cán bộ, "&amp;CONCATENATE("Trưởng ",S43)))))))</f>
        <v>Chánh Văn phòng Học viện, Trưởng Ban Tổ chức - Cán bộ, Trưởng Khoa Quản lý nhà nước về Kinh tế</v>
      </c>
      <c r="CA43" s="773" t="str">
        <f>IF(S43="Cơ sở Học viện Hành chính khu vực miền Trung","B",IF(S43="Phân viện Khu vực Tây Nguyên","C",IF(S43="Cơ sở Học viện Hành chính tại thành phố Hồ Chí Minh","D","A")))</f>
        <v>A</v>
      </c>
      <c r="CB43" s="774" t="str">
        <f>IF(AND(AO43&gt;0,AB43&lt;(AD43-1),CC43&gt;0,CC43&lt;13,OR(AND(CI43="Cùg Ng",($CB$2-CE43)&gt;BA43),CI43="- - -")),"Sớm TT","=&gt; s")</f>
        <v>=&gt; s</v>
      </c>
      <c r="CC43" s="736">
        <f>IF(BA43=3,36-(12*($CB$2-AX43)+(12-AV43)-AM43),IF(BA43=2,24-(12*($CB$2-AX43)+(12-AV43)-AM43),"---"))</f>
        <v>24211</v>
      </c>
      <c r="CD43" s="720" t="str">
        <f>IF(CE43&gt;1,"S","---")</f>
        <v>---</v>
      </c>
      <c r="CE43" s="720"/>
      <c r="CF43" s="775"/>
      <c r="CG43" s="720"/>
      <c r="CH43" s="776"/>
      <c r="CI43" s="720" t="str">
        <f>IF(X43=CF43,"Cùg Ng","- - -")</f>
        <v>- - -</v>
      </c>
      <c r="CJ43" s="777" t="str">
        <f>IF(CL43&gt;2000,"NN","- - -")</f>
        <v>NN</v>
      </c>
      <c r="CK43" s="778">
        <v>7</v>
      </c>
      <c r="CL43" s="779">
        <v>2012</v>
      </c>
      <c r="CM43" s="778"/>
      <c r="CN43" s="780"/>
      <c r="CO43" s="777" t="str">
        <f>IF(CQ43&gt;2000,"CN","- - -")</f>
        <v>- - -</v>
      </c>
      <c r="CP43" s="778"/>
      <c r="CQ43" s="779"/>
      <c r="CR43" s="778"/>
      <c r="CS43" s="780"/>
      <c r="CT43" s="781" t="str">
        <f>IF(AND(CU43="Hưu",AB43&lt;(AD43-1),DB43&gt;0,DB43&lt;18,OR(BF43&lt;4,AND(BF43&gt;3,OR(BY43&lt;3,BY43&gt;5)))),"Lg Sớm",IF(AND(CU43="Hưu",AB43&gt;(AD43-2),OR(BD43=0.33,BD43=0.34),OR(BF43&lt;4,AND(BF43&gt;3,OR(BY43&lt;3,BY43&gt;5)))),"Nâng Ngạch",IF(AND(CU43="Hưu",BA43=1,DB43&gt;2,DB43&lt;6,OR(BF43&lt;4,AND(BF43&gt;3,OR(BY43&lt;3,BY43&gt;5)))),"Nâng PcVK cùng QĐ",IF(AND(CU43="Hưu",BF43&gt;3,BY43&gt;2,BY43&lt;6,AB43&lt;(AD43-1),DB43&gt;17,OR(BA43&gt;1,AND(BA43=1,OR(DB43&lt;3,DB43&gt;5)))),"Nâng PcNG cùng QĐ",IF(AND(CU43="Hưu",AB43&lt;(AD43-1),DB43&gt;0,DB43&lt;18,BF43&gt;3,BY43&gt;2,BY43&lt;6),"Nâng Lg Sớm +(PcNG cùng QĐ)",IF(AND(CU43="Hưu",AB43&gt;(AD43-2),OR(BD43=0.33,BD43=0.34),BF43&gt;3,BY43&gt;2,BY43&lt;6),"Nâng Ngạch +(PcNG cùng QĐ)",IF(AND(CU43="Hưu",BA43=1,DB43&gt;2,DB43&lt;6,BF43&gt;3,BY43&gt;2,BY43&lt;6),"Nâng (PcVK +PcNG) cùng QĐ",("---"))))))))</f>
        <v>---</v>
      </c>
      <c r="CU43" s="782" t="str">
        <f>IF(AND(DF43&gt;DE43,DF43&lt;(DE43+13)),"Hưu",IF(AND(DF43&gt;(DE43+12),DF43&lt;1000),"Quá","/-/ /-/"))</f>
        <v>/-/ /-/</v>
      </c>
      <c r="CV43" s="783">
        <f>IF((I43+0)&lt;12,(I43+0)+1,IF((I43+0)=12,1,IF((I43+0)&gt;12,(I43+0)-12)))</f>
        <v>5</v>
      </c>
      <c r="CW43" s="784">
        <f>IF(OR((I43+0)=12,(I43+0)&gt;12),K43+DE43/12+1,IF(AND((I43+0)&gt;0,(I43+0)&lt;12),K43+DE43/12,"---"))</f>
        <v>2029</v>
      </c>
      <c r="CX43" s="783">
        <f>IF(AND(CV43&gt;3,CV43&lt;13),CV43-3,IF(CV43&lt;4,CV43-3+12))</f>
        <v>2</v>
      </c>
      <c r="CY43" s="784">
        <f>IF(CX43&lt;CV43,CW43,IF(CX43&gt;CV43,CW43-1))</f>
        <v>2029</v>
      </c>
      <c r="CZ43" s="783">
        <f>IF(CV43&gt;6,CV43-6,IF(CV43=6,12,IF(CV43&lt;6,CV43+6)))</f>
        <v>11</v>
      </c>
      <c r="DA43" s="784">
        <f>IF(CV43&gt;6,CW43,IF(CV43&lt;7,CW43-1))</f>
        <v>2028</v>
      </c>
      <c r="DB43" s="785" t="str">
        <f>IF(AND(CU43="Hưu",BA43=3),36+AM43-(12*(DA43-AX43)+(CZ43-AV43)),IF(AND(CU43="Hưu",BA43=2),24+AM43-(12*(DA43-AX43)+(CZ43-AV43)),IF(AND(CU43="Hưu",BA43=1),12+AM43-(12*(DA43-AX43)+(CZ43-AV43)),"- - -")))</f>
        <v>- - -</v>
      </c>
      <c r="DC43" s="786" t="str">
        <f>IF(DD43&gt;0,"K.Dài",". .")</f>
        <v>. .</v>
      </c>
      <c r="DD43" s="786"/>
      <c r="DE43" s="736">
        <f>IF(F43="Nam",(60+DD43)*12,IF(F43="Nữ",(55+DD43)*12,))</f>
        <v>720</v>
      </c>
      <c r="DF43" s="736">
        <f>12*($CU$4-K43)+(12-I43)</f>
        <v>-23620</v>
      </c>
      <c r="DG43" s="736">
        <f>$DK$4-K43</f>
        <v>-1969</v>
      </c>
      <c r="DH43" s="736" t="str">
        <f>IF(AND(DG43&lt;35,F43="Nam"),"Nam dưới 35",IF(AND(DG43&lt;30,F43="Nữ"),"Nữ dưới 30",IF(AND(DG43&gt;34,DG43&lt;46,F43="Nam"),"Nam từ 35 - 45",IF(AND(DG43&gt;29,DG43&lt;41,F43="Nữ"),"Nữ từ 30 - 40",IF(AND(DG43&gt;45,DG43&lt;56,F43="Nam"),"Nam trên 45 - 55",IF(AND(DG43&gt;40,DG43&lt;51,F43="Nữ"),"Nữ trên 40 - 50",IF(AND(DG43&gt;55,F43="Nam"),"Nam trên 55","Nữ trên 50")))))))</f>
        <v>Nam dưới 35</v>
      </c>
      <c r="DI43" s="736"/>
      <c r="DJ43" s="736"/>
      <c r="DK43" s="762" t="str">
        <f>IF(DG43&lt;31,"Đến 30",IF(AND(DG43&gt;30,DG43&lt;46),"31 - 45",IF(AND(DG43&gt;45,DG43&lt;70),"Trên 45")))</f>
        <v>Đến 30</v>
      </c>
      <c r="DL43" s="778" t="str">
        <f>IF(DM43&gt;0,"TD","--")</f>
        <v>--</v>
      </c>
      <c r="DM43" s="787"/>
      <c r="DN43" s="720"/>
      <c r="DO43" s="788"/>
      <c r="DP43" s="787"/>
      <c r="DQ43" s="780"/>
      <c r="DR43" s="789"/>
      <c r="DS43" s="790"/>
      <c r="DT43" s="791"/>
      <c r="DU43" s="792"/>
      <c r="DV43" s="793"/>
      <c r="DW43" s="753" t="s">
        <v>342</v>
      </c>
      <c r="DX43" s="755" t="s">
        <v>360</v>
      </c>
      <c r="DY43" s="755" t="s">
        <v>348</v>
      </c>
      <c r="DZ43" s="755" t="s">
        <v>360</v>
      </c>
      <c r="EA43" s="794">
        <v>2012</v>
      </c>
      <c r="EB43" s="755">
        <f>(DW43+0)-(ED43+0)</f>
        <v>0</v>
      </c>
      <c r="EC43" s="795" t="str">
        <f>IF(EB43&gt;0,"Sửa","- - -")</f>
        <v>- - -</v>
      </c>
      <c r="ED43" s="753" t="s">
        <v>342</v>
      </c>
      <c r="EE43" s="755" t="s">
        <v>360</v>
      </c>
      <c r="EF43" s="755" t="s">
        <v>348</v>
      </c>
      <c r="EG43" s="755" t="s">
        <v>360</v>
      </c>
      <c r="EH43" s="794">
        <v>2012</v>
      </c>
      <c r="EI43" s="720">
        <v>3.66</v>
      </c>
      <c r="EJ43" s="777" t="str">
        <f>IF(AND(BD43&gt;0.34,AO43=1,OR(BC43=6.2,BC43=5.75)),((BC43-EI43)-2*0.34),IF(AND(BD43&gt;0.33,AO43=1,OR(BC43=4.4,BC43=4)),((BC43-EI43)-2*0.33),"- - -"))</f>
        <v>- - -</v>
      </c>
      <c r="EK43" s="796" t="str">
        <f>IF(CU43="Hưu",12*(DA43-AX43)+(CZ43-AV43),"---")</f>
        <v>---</v>
      </c>
      <c r="EL43" s="792"/>
      <c r="EM43" s="797"/>
      <c r="EN43" s="797"/>
      <c r="EO43" s="797"/>
      <c r="EP43" s="797"/>
      <c r="EQ43" s="797"/>
      <c r="ER43" s="797"/>
      <c r="ES43" s="797"/>
      <c r="ET43" s="797"/>
      <c r="EU43" s="797"/>
      <c r="EV43" s="797"/>
      <c r="EW43" s="797"/>
      <c r="EX43" s="797"/>
      <c r="EY43" s="797"/>
      <c r="EZ43" s="797"/>
      <c r="FA43" s="797"/>
      <c r="FB43" s="797"/>
      <c r="FC43" s="797"/>
      <c r="FD43" s="797"/>
      <c r="FE43" s="797"/>
      <c r="FF43" s="797"/>
      <c r="FG43" s="797"/>
      <c r="FH43" s="797"/>
      <c r="FI43" s="797"/>
      <c r="FJ43" s="797"/>
      <c r="FK43" s="798"/>
      <c r="FL43" s="798"/>
      <c r="FM43" s="798"/>
      <c r="FN43" s="798"/>
      <c r="FO43" s="798"/>
    </row>
    <row r="44" spans="1:171" s="871" customFormat="1" ht="30.75" customHeight="1" x14ac:dyDescent="0.2">
      <c r="A44" s="813"/>
      <c r="B44" s="814"/>
      <c r="C44" s="813"/>
      <c r="D44" s="813"/>
      <c r="E44" s="815"/>
      <c r="F44" s="813"/>
      <c r="G44" s="816"/>
      <c r="H44" s="817"/>
      <c r="I44" s="816"/>
      <c r="J44" s="817"/>
      <c r="K44" s="815"/>
      <c r="L44" s="818"/>
      <c r="M44" s="819"/>
      <c r="N44" s="820"/>
      <c r="O44" s="821"/>
      <c r="P44" s="815"/>
      <c r="Q44" s="814"/>
      <c r="R44" s="822"/>
      <c r="S44" s="823"/>
      <c r="T44" s="824"/>
      <c r="U44" s="825"/>
      <c r="V44" s="826"/>
      <c r="W44" s="827"/>
      <c r="X44" s="828"/>
      <c r="Y44" s="829"/>
      <c r="Z44" s="829"/>
      <c r="AA44" s="830"/>
      <c r="AB44" s="831"/>
      <c r="AC44" s="832"/>
      <c r="AD44" s="832"/>
      <c r="AE44" s="833"/>
      <c r="AF44" s="833"/>
      <c r="AG44" s="833"/>
      <c r="AH44" s="833"/>
      <c r="AI44" s="834"/>
      <c r="AJ44" s="833"/>
      <c r="AK44" s="834"/>
      <c r="AL44" s="835"/>
      <c r="AM44" s="836"/>
      <c r="AN44" s="837"/>
      <c r="AO44" s="838"/>
      <c r="AP44" s="839"/>
      <c r="AQ44" s="840"/>
      <c r="AR44" s="839"/>
      <c r="AS44" s="839"/>
      <c r="AT44" s="841"/>
      <c r="AU44" s="842"/>
      <c r="AV44" s="843"/>
      <c r="AW44" s="842"/>
      <c r="AX44" s="815"/>
      <c r="AY44" s="844"/>
      <c r="AZ44" s="845"/>
      <c r="BA44" s="846"/>
      <c r="BB44" s="847"/>
      <c r="BC44" s="824"/>
      <c r="BD44" s="824"/>
      <c r="BE44" s="848"/>
      <c r="BF44" s="849"/>
      <c r="BG44" s="846"/>
      <c r="BH44" s="850"/>
      <c r="BI44" s="851"/>
      <c r="BJ44" s="852"/>
      <c r="BK44" s="851"/>
      <c r="BL44" s="853"/>
      <c r="BM44" s="854"/>
      <c r="BN44" s="855"/>
      <c r="BO44" s="849"/>
      <c r="BP44" s="837"/>
      <c r="BQ44" s="850"/>
      <c r="BR44" s="842"/>
      <c r="BS44" s="816"/>
      <c r="BT44" s="842"/>
      <c r="BU44" s="815"/>
      <c r="BV44" s="856"/>
      <c r="BW44" s="857"/>
      <c r="BX44" s="858"/>
      <c r="BY44" s="848"/>
      <c r="BZ44" s="859"/>
      <c r="CA44" s="860"/>
      <c r="CB44" s="830"/>
      <c r="CC44" s="830"/>
      <c r="CD44" s="813"/>
      <c r="CE44" s="813"/>
      <c r="CF44" s="719"/>
      <c r="CG44" s="813"/>
      <c r="CH44" s="861"/>
      <c r="CI44" s="813"/>
      <c r="CJ44" s="862"/>
      <c r="CK44" s="862"/>
      <c r="CL44" s="813"/>
      <c r="CM44" s="862"/>
      <c r="CN44" s="862"/>
      <c r="CO44" s="862"/>
      <c r="CP44" s="862"/>
      <c r="CQ44" s="813"/>
      <c r="CR44" s="862"/>
      <c r="CS44" s="862"/>
      <c r="CT44" s="863"/>
      <c r="CU44" s="864"/>
      <c r="CV44" s="865"/>
      <c r="CW44" s="865"/>
      <c r="CX44" s="865"/>
      <c r="CY44" s="865"/>
      <c r="CZ44" s="865"/>
      <c r="DA44" s="865"/>
      <c r="DB44" s="866"/>
      <c r="DC44" s="867"/>
      <c r="DD44" s="867"/>
      <c r="DE44" s="830"/>
      <c r="DF44" s="830"/>
      <c r="DG44" s="830"/>
      <c r="DH44" s="830"/>
      <c r="DI44" s="830"/>
      <c r="DJ44" s="830"/>
      <c r="DK44" s="848"/>
      <c r="DL44" s="862"/>
      <c r="DM44" s="813"/>
      <c r="DN44" s="813"/>
      <c r="DO44" s="813"/>
      <c r="DP44" s="813"/>
      <c r="DQ44" s="862"/>
      <c r="DR44" s="862"/>
      <c r="DS44" s="832"/>
      <c r="DT44" s="868"/>
      <c r="DU44" s="815"/>
      <c r="DV44" s="815"/>
      <c r="DW44" s="841"/>
      <c r="DX44" s="843"/>
      <c r="DY44" s="843"/>
      <c r="DZ44" s="843"/>
      <c r="EA44" s="869"/>
      <c r="EB44" s="843"/>
      <c r="EC44" s="813"/>
      <c r="ED44" s="841"/>
      <c r="EE44" s="843"/>
      <c r="EF44" s="843"/>
      <c r="EG44" s="843"/>
      <c r="EH44" s="869"/>
      <c r="EI44" s="813"/>
      <c r="EJ44" s="862"/>
      <c r="EK44" s="866"/>
      <c r="EL44" s="815"/>
      <c r="EM44" s="865"/>
      <c r="EN44" s="865"/>
      <c r="EO44" s="865"/>
      <c r="EP44" s="865"/>
      <c r="EQ44" s="865"/>
      <c r="ER44" s="865"/>
      <c r="ES44" s="865"/>
      <c r="ET44" s="865"/>
      <c r="EU44" s="865"/>
      <c r="EV44" s="865"/>
      <c r="EW44" s="865"/>
      <c r="EX44" s="865"/>
      <c r="EY44" s="865"/>
      <c r="EZ44" s="865"/>
      <c r="FA44" s="865"/>
      <c r="FB44" s="865"/>
      <c r="FC44" s="865"/>
      <c r="FD44" s="865"/>
      <c r="FE44" s="865"/>
      <c r="FF44" s="865"/>
      <c r="FG44" s="865"/>
      <c r="FH44" s="865"/>
      <c r="FI44" s="865"/>
      <c r="FJ44" s="865"/>
      <c r="FK44" s="870"/>
      <c r="FL44" s="870"/>
      <c r="FM44" s="870"/>
      <c r="FN44" s="870"/>
      <c r="FO44" s="870"/>
    </row>
    <row r="45" spans="1:171" s="871" customFormat="1" ht="30.75" customHeight="1" x14ac:dyDescent="0.2">
      <c r="A45" s="813"/>
      <c r="B45" s="814"/>
      <c r="C45" s="813"/>
      <c r="D45" s="813"/>
      <c r="E45" s="815"/>
      <c r="F45" s="813"/>
      <c r="G45" s="816"/>
      <c r="H45" s="817"/>
      <c r="I45" s="816"/>
      <c r="J45" s="817"/>
      <c r="K45" s="815"/>
      <c r="L45" s="818"/>
      <c r="M45" s="819"/>
      <c r="N45" s="820"/>
      <c r="O45" s="821"/>
      <c r="P45" s="815"/>
      <c r="Q45" s="814"/>
      <c r="R45" s="822"/>
      <c r="S45" s="823"/>
      <c r="T45" s="824"/>
      <c r="U45" s="825"/>
      <c r="V45" s="826"/>
      <c r="W45" s="827"/>
      <c r="X45" s="828"/>
      <c r="Y45" s="829"/>
      <c r="Z45" s="829"/>
      <c r="AA45" s="830"/>
      <c r="AB45" s="831"/>
      <c r="AC45" s="832"/>
      <c r="AD45" s="832"/>
      <c r="AE45" s="833"/>
      <c r="AF45" s="833"/>
      <c r="AG45" s="833"/>
      <c r="AH45" s="833"/>
      <c r="AI45" s="834"/>
      <c r="AJ45" s="833"/>
      <c r="AK45" s="834"/>
      <c r="AL45" s="835"/>
      <c r="AM45" s="836"/>
      <c r="AN45" s="837"/>
      <c r="AO45" s="838"/>
      <c r="AP45" s="839"/>
      <c r="AQ45" s="840"/>
      <c r="AR45" s="839"/>
      <c r="AS45" s="839"/>
      <c r="AT45" s="841"/>
      <c r="AU45" s="842"/>
      <c r="AV45" s="843"/>
      <c r="AW45" s="842"/>
      <c r="AX45" s="815"/>
      <c r="AY45" s="844"/>
      <c r="AZ45" s="845"/>
      <c r="BA45" s="846"/>
      <c r="BB45" s="847"/>
      <c r="BC45" s="824"/>
      <c r="BD45" s="824"/>
      <c r="BE45" s="848"/>
      <c r="BF45" s="849"/>
      <c r="BG45" s="846"/>
      <c r="BH45" s="850"/>
      <c r="BI45" s="851"/>
      <c r="BJ45" s="852"/>
      <c r="BK45" s="851"/>
      <c r="BL45" s="853"/>
      <c r="BM45" s="854"/>
      <c r="BN45" s="855"/>
      <c r="BO45" s="849"/>
      <c r="BP45" s="837"/>
      <c r="BQ45" s="850"/>
      <c r="BR45" s="842"/>
      <c r="BS45" s="816"/>
      <c r="BT45" s="842"/>
      <c r="BU45" s="815"/>
      <c r="BV45" s="856"/>
      <c r="BW45" s="857"/>
      <c r="BX45" s="858"/>
      <c r="BY45" s="848"/>
      <c r="BZ45" s="859"/>
      <c r="CA45" s="860"/>
      <c r="CB45" s="830"/>
      <c r="CC45" s="830"/>
      <c r="CD45" s="813"/>
      <c r="CE45" s="813"/>
      <c r="CF45" s="719"/>
      <c r="CG45" s="813"/>
      <c r="CH45" s="861"/>
      <c r="CI45" s="813"/>
      <c r="CJ45" s="862"/>
      <c r="CK45" s="862"/>
      <c r="CL45" s="813"/>
      <c r="CM45" s="862"/>
      <c r="CN45" s="862"/>
      <c r="CO45" s="862"/>
      <c r="CP45" s="862"/>
      <c r="CQ45" s="813"/>
      <c r="CR45" s="862"/>
      <c r="CS45" s="862"/>
      <c r="CT45" s="863"/>
      <c r="CU45" s="864"/>
      <c r="CV45" s="865"/>
      <c r="CW45" s="865"/>
      <c r="CX45" s="865"/>
      <c r="CY45" s="865"/>
      <c r="CZ45" s="865"/>
      <c r="DA45" s="865"/>
      <c r="DB45" s="866"/>
      <c r="DC45" s="867"/>
      <c r="DD45" s="867"/>
      <c r="DE45" s="830"/>
      <c r="DF45" s="830"/>
      <c r="DG45" s="830"/>
      <c r="DH45" s="830"/>
      <c r="DI45" s="830"/>
      <c r="DJ45" s="830"/>
      <c r="DK45" s="848"/>
      <c r="DL45" s="862"/>
      <c r="DM45" s="813"/>
      <c r="DN45" s="813"/>
      <c r="DO45" s="813"/>
      <c r="DP45" s="813"/>
      <c r="DQ45" s="862"/>
      <c r="DR45" s="862"/>
      <c r="DS45" s="832"/>
      <c r="DT45" s="868"/>
      <c r="DU45" s="815"/>
      <c r="DV45" s="815"/>
      <c r="DW45" s="841"/>
      <c r="DX45" s="843"/>
      <c r="DY45" s="843"/>
      <c r="DZ45" s="843"/>
      <c r="EA45" s="869"/>
      <c r="EB45" s="843"/>
      <c r="EC45" s="813"/>
      <c r="ED45" s="841"/>
      <c r="EE45" s="843"/>
      <c r="EF45" s="843"/>
      <c r="EG45" s="843"/>
      <c r="EH45" s="869"/>
      <c r="EI45" s="813"/>
      <c r="EJ45" s="862"/>
      <c r="EK45" s="866"/>
      <c r="EL45" s="815"/>
      <c r="EM45" s="865"/>
      <c r="EN45" s="865"/>
      <c r="EO45" s="865"/>
      <c r="EP45" s="865"/>
      <c r="EQ45" s="865"/>
      <c r="ER45" s="865"/>
      <c r="ES45" s="865"/>
      <c r="ET45" s="865"/>
      <c r="EU45" s="865"/>
      <c r="EV45" s="865"/>
      <c r="EW45" s="865"/>
      <c r="EX45" s="865"/>
      <c r="EY45" s="865"/>
      <c r="EZ45" s="865"/>
      <c r="FA45" s="865"/>
      <c r="FB45" s="865"/>
      <c r="FC45" s="865"/>
      <c r="FD45" s="865"/>
      <c r="FE45" s="865"/>
      <c r="FF45" s="865"/>
      <c r="FG45" s="865"/>
      <c r="FH45" s="865"/>
      <c r="FI45" s="865"/>
      <c r="FJ45" s="865"/>
      <c r="FK45" s="870"/>
      <c r="FL45" s="870"/>
      <c r="FM45" s="870"/>
      <c r="FN45" s="870"/>
      <c r="FO45" s="870"/>
    </row>
    <row r="46" spans="1:171" s="800" customFormat="1" ht="41.25" customHeight="1" x14ac:dyDescent="0.2">
      <c r="A46" s="939"/>
      <c r="B46" s="901"/>
      <c r="C46" s="909"/>
      <c r="D46" s="940"/>
      <c r="E46" s="940"/>
      <c r="F46" s="940"/>
      <c r="G46" s="940"/>
      <c r="H46" s="940"/>
      <c r="I46" s="940"/>
      <c r="J46" s="940"/>
      <c r="K46" s="940"/>
      <c r="L46" s="940"/>
      <c r="M46" s="940"/>
      <c r="N46" s="940"/>
      <c r="O46" s="940"/>
      <c r="P46" s="940"/>
      <c r="Q46" s="940"/>
      <c r="R46" s="940"/>
      <c r="S46" s="918"/>
      <c r="T46" s="918"/>
      <c r="U46" s="918"/>
      <c r="V46" s="919"/>
      <c r="W46" s="920"/>
      <c r="X46" s="908"/>
      <c r="Y46" s="908"/>
      <c r="Z46" s="908"/>
      <c r="AA46" s="908"/>
      <c r="AB46" s="908"/>
      <c r="AC46" s="908"/>
      <c r="AD46" s="908"/>
      <c r="AE46" s="908"/>
      <c r="AF46" s="908"/>
      <c r="AG46" s="908"/>
      <c r="AH46" s="908"/>
      <c r="AI46" s="908"/>
      <c r="AJ46" s="908"/>
      <c r="AK46" s="908"/>
      <c r="AL46" s="908"/>
      <c r="AM46" s="908"/>
      <c r="AN46" s="908"/>
      <c r="AO46" s="908"/>
      <c r="AP46" s="908"/>
      <c r="AQ46" s="908"/>
      <c r="AR46" s="908"/>
      <c r="AS46" s="908"/>
      <c r="AT46" s="908"/>
      <c r="AU46" s="908"/>
      <c r="AV46" s="908"/>
      <c r="AW46" s="908"/>
      <c r="AX46" s="908"/>
      <c r="AY46" s="908"/>
      <c r="AZ46" s="908"/>
      <c r="BA46" s="908"/>
      <c r="BB46" s="908"/>
      <c r="BC46" s="908"/>
      <c r="BD46" s="908"/>
      <c r="BE46" s="908"/>
      <c r="BF46" s="908"/>
      <c r="BG46" s="908"/>
      <c r="BH46" s="908"/>
      <c r="BI46" s="908"/>
      <c r="BJ46" s="1269"/>
      <c r="BK46" s="908"/>
      <c r="BL46" s="908"/>
      <c r="BM46" s="908"/>
      <c r="BN46" s="908"/>
      <c r="BO46" s="908"/>
      <c r="BP46" s="908"/>
      <c r="BQ46" s="908"/>
      <c r="BR46" s="908"/>
      <c r="BS46" s="908"/>
      <c r="BT46" s="908"/>
      <c r="BU46" s="908"/>
      <c r="BV46" s="937"/>
      <c r="BW46" s="937"/>
      <c r="BX46" s="937"/>
      <c r="BY46" s="937"/>
      <c r="BZ46" s="937"/>
      <c r="CA46" s="937"/>
      <c r="CB46" s="937"/>
      <c r="CC46" s="937"/>
      <c r="CD46" s="938"/>
      <c r="CE46" s="837"/>
      <c r="CF46" s="815"/>
      <c r="CG46" s="813"/>
      <c r="CH46" s="843"/>
      <c r="CI46" s="813"/>
      <c r="CJ46" s="921"/>
      <c r="CK46" s="922"/>
      <c r="CL46" s="941"/>
      <c r="CM46" s="923"/>
      <c r="CN46" s="924"/>
      <c r="CO46" s="924"/>
      <c r="CP46" s="942"/>
      <c r="CQ46" s="943"/>
      <c r="CR46" s="915"/>
      <c r="CS46" s="944"/>
      <c r="DJ46" s="925"/>
      <c r="DK46" s="926"/>
      <c r="DL46" s="752"/>
      <c r="DM46" s="945"/>
      <c r="DN46" s="928"/>
      <c r="DO46" s="946"/>
      <c r="DP46" s="947"/>
      <c r="DQ46" s="948"/>
      <c r="DR46" s="949"/>
      <c r="DS46" s="932"/>
      <c r="DT46" s="932"/>
      <c r="DU46" s="947"/>
      <c r="DV46" s="950"/>
      <c r="DW46" s="951"/>
      <c r="DX46" s="952"/>
      <c r="DY46" s="952"/>
    </row>
    <row r="47" spans="1:171" s="800" customFormat="1" ht="41.25" customHeight="1" x14ac:dyDescent="0.2">
      <c r="A47" s="939"/>
      <c r="B47" s="901"/>
      <c r="C47" s="909"/>
      <c r="D47" s="940"/>
      <c r="E47" s="940"/>
      <c r="F47" s="940"/>
      <c r="G47" s="940"/>
      <c r="H47" s="940"/>
      <c r="I47" s="940"/>
      <c r="J47" s="940"/>
      <c r="K47" s="940"/>
      <c r="L47" s="940"/>
      <c r="M47" s="940"/>
      <c r="N47" s="940"/>
      <c r="O47" s="940"/>
      <c r="P47" s="940"/>
      <c r="Q47" s="940"/>
      <c r="R47" s="940"/>
      <c r="S47" s="918"/>
      <c r="T47" s="918"/>
      <c r="U47" s="918"/>
      <c r="V47" s="919"/>
      <c r="W47" s="920"/>
      <c r="X47" s="908"/>
      <c r="Y47" s="908"/>
      <c r="Z47" s="908"/>
      <c r="AA47" s="908"/>
      <c r="AB47" s="908"/>
      <c r="AC47" s="908"/>
      <c r="AD47" s="908"/>
      <c r="AE47" s="908"/>
      <c r="AF47" s="908"/>
      <c r="AG47" s="908"/>
      <c r="AH47" s="908"/>
      <c r="AI47" s="908"/>
      <c r="AJ47" s="908"/>
      <c r="AK47" s="908"/>
      <c r="AL47" s="908"/>
      <c r="AM47" s="908"/>
      <c r="AN47" s="908"/>
      <c r="AO47" s="908"/>
      <c r="AP47" s="908"/>
      <c r="AQ47" s="908"/>
      <c r="AR47" s="908"/>
      <c r="AS47" s="908"/>
      <c r="AT47" s="908"/>
      <c r="AU47" s="908"/>
      <c r="AV47" s="908"/>
      <c r="AW47" s="908"/>
      <c r="AX47" s="908"/>
      <c r="AY47" s="908"/>
      <c r="AZ47" s="908"/>
      <c r="BA47" s="908"/>
      <c r="BB47" s="908"/>
      <c r="BC47" s="908"/>
      <c r="BD47" s="908"/>
      <c r="BE47" s="908"/>
      <c r="BF47" s="908"/>
      <c r="BG47" s="908"/>
      <c r="BH47" s="908"/>
      <c r="BI47" s="908"/>
      <c r="BJ47" s="1269"/>
      <c r="BK47" s="908"/>
      <c r="BL47" s="908"/>
      <c r="BM47" s="908"/>
      <c r="BN47" s="908"/>
      <c r="BO47" s="908"/>
      <c r="BP47" s="908"/>
      <c r="BQ47" s="908"/>
      <c r="BR47" s="908"/>
      <c r="BS47" s="908"/>
      <c r="BT47" s="908"/>
      <c r="BU47" s="908"/>
      <c r="BV47" s="937"/>
      <c r="BW47" s="937"/>
      <c r="BX47" s="937"/>
      <c r="BY47" s="937"/>
      <c r="BZ47" s="937"/>
      <c r="CA47" s="937"/>
      <c r="CB47" s="937"/>
      <c r="CC47" s="937"/>
      <c r="CD47" s="938"/>
      <c r="CE47" s="837"/>
      <c r="CF47" s="815"/>
      <c r="CG47" s="813"/>
      <c r="CH47" s="843"/>
      <c r="CI47" s="813"/>
      <c r="CJ47" s="921"/>
      <c r="CK47" s="922"/>
      <c r="CL47" s="941"/>
      <c r="CM47" s="923"/>
      <c r="CN47" s="924"/>
      <c r="CO47" s="924"/>
      <c r="CP47" s="942"/>
      <c r="CQ47" s="943"/>
      <c r="CR47" s="915"/>
      <c r="CS47" s="944"/>
      <c r="DJ47" s="925"/>
      <c r="DK47" s="926"/>
      <c r="DL47" s="752"/>
      <c r="DM47" s="945"/>
      <c r="DN47" s="928"/>
      <c r="DO47" s="946"/>
      <c r="DP47" s="947"/>
      <c r="DQ47" s="948"/>
      <c r="DR47" s="949"/>
      <c r="DS47" s="932"/>
      <c r="DT47" s="932"/>
      <c r="DU47" s="947"/>
      <c r="DV47" s="950"/>
      <c r="DW47" s="951"/>
      <c r="DX47" s="952"/>
      <c r="DY47" s="952"/>
    </row>
    <row r="48" spans="1:171" ht="37.5" customHeight="1" x14ac:dyDescent="0.2"/>
    <row r="49" spans="1:174" ht="11.25" customHeight="1" x14ac:dyDescent="0.2"/>
    <row r="50" spans="1:174" s="1049" customFormat="1" ht="11.25" customHeight="1" x14ac:dyDescent="0.2">
      <c r="A50" s="973"/>
      <c r="B50" s="974"/>
      <c r="C50" s="702"/>
      <c r="D50" s="702"/>
      <c r="E50" s="701"/>
      <c r="F50" s="702"/>
      <c r="G50" s="975"/>
      <c r="H50" s="976"/>
      <c r="I50" s="975"/>
      <c r="J50" s="976"/>
      <c r="K50" s="701"/>
      <c r="L50" s="977"/>
      <c r="M50" s="978"/>
      <c r="N50" s="979"/>
      <c r="O50" s="980"/>
      <c r="P50" s="701"/>
      <c r="Q50" s="981"/>
      <c r="R50" s="701"/>
      <c r="S50" s="982"/>
      <c r="T50" s="983"/>
      <c r="U50" s="984"/>
      <c r="V50" s="985"/>
      <c r="W50" s="986"/>
      <c r="X50" s="987"/>
      <c r="Y50" s="988"/>
      <c r="Z50" s="988"/>
      <c r="AA50" s="709"/>
      <c r="AB50" s="989"/>
      <c r="AC50" s="990"/>
      <c r="AD50" s="991"/>
      <c r="AE50" s="992"/>
      <c r="AF50" s="993"/>
      <c r="AG50" s="994"/>
      <c r="AH50" s="995"/>
      <c r="AI50" s="996"/>
      <c r="AJ50" s="994"/>
      <c r="AK50" s="996"/>
      <c r="AL50" s="997"/>
      <c r="AM50" s="998"/>
      <c r="AN50" s="999"/>
      <c r="AO50" s="1000"/>
      <c r="AP50" s="1001"/>
      <c r="AQ50" s="1002"/>
      <c r="AR50" s="1001"/>
      <c r="AS50" s="1003"/>
      <c r="AT50" s="1004"/>
      <c r="AU50" s="1005"/>
      <c r="AV50" s="1006"/>
      <c r="AW50" s="1005"/>
      <c r="AX50" s="1007"/>
      <c r="AY50" s="1008"/>
      <c r="AZ50" s="1009"/>
      <c r="BA50" s="1010"/>
      <c r="BB50" s="708"/>
      <c r="BC50" s="1011"/>
      <c r="BD50" s="1012"/>
      <c r="BE50" s="1012"/>
      <c r="BF50" s="1013"/>
      <c r="BG50" s="1014"/>
      <c r="BH50" s="1015"/>
      <c r="BI50" s="1016"/>
      <c r="BJ50" s="1270"/>
      <c r="BK50" s="1018"/>
      <c r="BL50" s="1017"/>
      <c r="BM50" s="1019"/>
      <c r="BN50" s="1020"/>
      <c r="BO50" s="1021"/>
      <c r="BP50" s="1022"/>
      <c r="BQ50" s="1023"/>
      <c r="BR50" s="1016"/>
      <c r="BS50" s="1005"/>
      <c r="BT50" s="1024"/>
      <c r="BU50" s="1005"/>
      <c r="BV50" s="1019"/>
      <c r="BW50" s="1025"/>
      <c r="BX50" s="1026"/>
      <c r="BY50" s="1027"/>
      <c r="BZ50" s="1013"/>
      <c r="CA50" s="1028"/>
      <c r="CB50" s="706"/>
      <c r="CC50" s="1029"/>
      <c r="CD50" s="709"/>
      <c r="CE50" s="702"/>
      <c r="CF50" s="702"/>
      <c r="CG50" s="1030"/>
      <c r="CH50" s="702"/>
      <c r="CI50" s="1031"/>
      <c r="CJ50" s="702"/>
      <c r="CK50" s="704"/>
      <c r="CL50" s="1032"/>
      <c r="CM50" s="1033"/>
      <c r="CN50" s="1032"/>
      <c r="CO50" s="1034"/>
      <c r="CP50" s="704"/>
      <c r="CQ50" s="1032"/>
      <c r="CR50" s="710"/>
      <c r="CS50" s="1032"/>
      <c r="CT50" s="1034"/>
      <c r="CU50" s="1035"/>
      <c r="CV50" s="1036"/>
      <c r="CW50" s="1037"/>
      <c r="CX50" s="1038"/>
      <c r="CY50" s="1037"/>
      <c r="CZ50" s="1038"/>
      <c r="DA50" s="1037"/>
      <c r="DB50" s="1038"/>
      <c r="DC50" s="1039"/>
      <c r="DD50" s="1040"/>
      <c r="DE50" s="1040"/>
      <c r="DF50" s="709"/>
      <c r="DG50" s="709"/>
      <c r="DH50" s="709"/>
      <c r="DI50" s="709"/>
      <c r="DJ50" s="709"/>
      <c r="DK50" s="709"/>
      <c r="DL50" s="1013"/>
      <c r="DM50" s="1032"/>
      <c r="DN50" s="1041"/>
      <c r="DO50" s="702"/>
      <c r="DP50" s="1042"/>
      <c r="DQ50" s="1041"/>
      <c r="DR50" s="1034"/>
      <c r="DS50" s="1043"/>
      <c r="DT50" s="705"/>
      <c r="DU50" s="703"/>
      <c r="DV50" s="1008"/>
      <c r="DW50" s="1044"/>
      <c r="DX50" s="1045"/>
      <c r="DY50" s="1046"/>
      <c r="DZ50" s="1004"/>
      <c r="EA50" s="1006"/>
      <c r="EB50" s="1006"/>
      <c r="EC50" s="1006"/>
      <c r="ED50" s="1047"/>
      <c r="EE50" s="1006"/>
      <c r="EF50" s="1048"/>
      <c r="EG50" s="1004"/>
      <c r="EH50" s="1006"/>
      <c r="EI50" s="1006"/>
      <c r="EJ50" s="1006"/>
      <c r="EK50" s="1047"/>
      <c r="EL50" s="702"/>
      <c r="EM50" s="704"/>
      <c r="EN50" s="707"/>
      <c r="EO50" s="1008"/>
    </row>
    <row r="51" spans="1:174" s="1132" customFormat="1" ht="11.25" customHeight="1" x14ac:dyDescent="0.2">
      <c r="A51" s="1050"/>
      <c r="B51" s="1051"/>
      <c r="C51" s="181"/>
      <c r="D51" s="181"/>
      <c r="E51" s="325"/>
      <c r="F51" s="181"/>
      <c r="G51" s="1052"/>
      <c r="H51" s="1053"/>
      <c r="I51" s="1052"/>
      <c r="J51" s="1053"/>
      <c r="K51" s="325"/>
      <c r="L51" s="1054"/>
      <c r="M51" s="1055"/>
      <c r="N51" s="1056"/>
      <c r="O51" s="1057"/>
      <c r="P51" s="325"/>
      <c r="Q51" s="1058"/>
      <c r="R51" s="325"/>
      <c r="S51" s="1059"/>
      <c r="T51" s="1060"/>
      <c r="U51" s="1061"/>
      <c r="V51" s="1062"/>
      <c r="W51" s="1063"/>
      <c r="X51" s="883"/>
      <c r="Y51" s="1064"/>
      <c r="Z51" s="1064"/>
      <c r="AA51" s="1065"/>
      <c r="AB51" s="1066"/>
      <c r="AC51" s="1067"/>
      <c r="AD51" s="1068"/>
      <c r="AE51" s="1069"/>
      <c r="AF51" s="1070"/>
      <c r="AG51" s="1071"/>
      <c r="AH51" s="1072"/>
      <c r="AI51" s="1073"/>
      <c r="AJ51" s="1071"/>
      <c r="AK51" s="1073"/>
      <c r="AL51" s="1074"/>
      <c r="AM51" s="1075"/>
      <c r="AN51" s="1076"/>
      <c r="AO51" s="1077"/>
      <c r="AP51" s="1078"/>
      <c r="AQ51" s="1079"/>
      <c r="AR51" s="1078"/>
      <c r="AS51" s="1080"/>
      <c r="AT51" s="1081"/>
      <c r="AU51" s="1082"/>
      <c r="AV51" s="1083"/>
      <c r="AW51" s="1082"/>
      <c r="AX51" s="1084"/>
      <c r="AY51" s="1085"/>
      <c r="AZ51" s="1086"/>
      <c r="BA51" s="1087"/>
      <c r="BB51" s="1088"/>
      <c r="BC51" s="1089"/>
      <c r="BD51" s="1090"/>
      <c r="BE51" s="1090"/>
      <c r="BF51" s="1091"/>
      <c r="BG51" s="1092"/>
      <c r="BH51" s="1093"/>
      <c r="BI51" s="1094"/>
      <c r="BJ51" s="1271"/>
      <c r="BK51" s="1096"/>
      <c r="BL51" s="1095"/>
      <c r="BM51" s="1097"/>
      <c r="BN51" s="1075"/>
      <c r="BO51" s="1098"/>
      <c r="BP51" s="1099"/>
      <c r="BQ51" s="1100"/>
      <c r="BR51" s="1094"/>
      <c r="BS51" s="1082"/>
      <c r="BT51" s="1101"/>
      <c r="BU51" s="1082"/>
      <c r="BV51" s="1097"/>
      <c r="BW51" s="1102"/>
      <c r="BX51" s="1103"/>
      <c r="BY51" s="1104"/>
      <c r="BZ51" s="1091"/>
      <c r="CA51" s="1105"/>
      <c r="CB51" s="27"/>
      <c r="CC51" s="1106"/>
      <c r="CD51" s="1065"/>
      <c r="CE51" s="181"/>
      <c r="CF51" s="181"/>
      <c r="CG51" s="1107"/>
      <c r="CH51" s="181"/>
      <c r="CI51" s="1108"/>
      <c r="CJ51" s="181"/>
      <c r="CK51" s="1109"/>
      <c r="CL51" s="1110"/>
      <c r="CM51" s="1111"/>
      <c r="CN51" s="1110"/>
      <c r="CO51" s="1112"/>
      <c r="CP51" s="1109"/>
      <c r="CQ51" s="1110"/>
      <c r="CR51" s="1113"/>
      <c r="CS51" s="1110"/>
      <c r="CT51" s="1112"/>
      <c r="CU51" s="1114"/>
      <c r="CV51" s="1115"/>
      <c r="CW51" s="1116"/>
      <c r="CX51" s="1117"/>
      <c r="CY51" s="1116"/>
      <c r="CZ51" s="1117"/>
      <c r="DA51" s="1116"/>
      <c r="DB51" s="1117"/>
      <c r="DC51" s="1118"/>
      <c r="DD51" s="1119"/>
      <c r="DE51" s="1119"/>
      <c r="DF51" s="1065"/>
      <c r="DG51" s="1065"/>
      <c r="DH51" s="1065"/>
      <c r="DI51" s="1065"/>
      <c r="DJ51" s="1065"/>
      <c r="DK51" s="1065"/>
      <c r="DL51" s="1091"/>
      <c r="DM51" s="1110"/>
      <c r="DN51" s="1120"/>
      <c r="DO51" s="181"/>
      <c r="DP51" s="1121"/>
      <c r="DQ51" s="1112"/>
      <c r="DR51" s="1112"/>
      <c r="DS51" s="1122"/>
      <c r="DT51" s="1123"/>
      <c r="DU51" s="1124"/>
      <c r="DV51" s="1085"/>
      <c r="DW51" s="1125"/>
      <c r="DX51" s="1126"/>
      <c r="DY51" s="1127"/>
      <c r="DZ51" s="1081"/>
      <c r="EA51" s="1083"/>
      <c r="EB51" s="1083"/>
      <c r="EC51" s="1083"/>
      <c r="ED51" s="1128"/>
      <c r="EE51" s="1083"/>
      <c r="EF51" s="1129"/>
      <c r="EG51" s="1081"/>
      <c r="EH51" s="1083"/>
      <c r="EI51" s="1083"/>
      <c r="EJ51" s="1083"/>
      <c r="EK51" s="1128"/>
      <c r="EL51" s="1130"/>
      <c r="EM51" s="1109"/>
      <c r="EN51" s="1131"/>
      <c r="EO51" s="1085"/>
      <c r="FN51" s="1133"/>
      <c r="FO51" s="1133"/>
      <c r="FP51" s="1133"/>
      <c r="FQ51" s="1133"/>
      <c r="FR51" s="1133"/>
    </row>
    <row r="52" spans="1:174" s="1132" customFormat="1" ht="11.25" customHeight="1" x14ac:dyDescent="0.2">
      <c r="A52" s="1050"/>
      <c r="B52" s="1051"/>
      <c r="C52" s="181"/>
      <c r="D52" s="181"/>
      <c r="E52" s="325"/>
      <c r="F52" s="181"/>
      <c r="G52" s="1052"/>
      <c r="H52" s="1053"/>
      <c r="I52" s="1052"/>
      <c r="J52" s="1053"/>
      <c r="K52" s="325"/>
      <c r="L52" s="1054"/>
      <c r="M52" s="1055"/>
      <c r="N52" s="1056"/>
      <c r="O52" s="1057"/>
      <c r="P52" s="325"/>
      <c r="Q52" s="1058"/>
      <c r="R52" s="325"/>
      <c r="S52" s="325"/>
      <c r="T52" s="1060"/>
      <c r="U52" s="1061"/>
      <c r="V52" s="1062"/>
      <c r="W52" s="1063"/>
      <c r="X52" s="883"/>
      <c r="Y52" s="1064"/>
      <c r="Z52" s="1064"/>
      <c r="AA52" s="1065"/>
      <c r="AB52" s="1066"/>
      <c r="AC52" s="1067"/>
      <c r="AD52" s="1068"/>
      <c r="AE52" s="1069"/>
      <c r="AF52" s="1070"/>
      <c r="AG52" s="1071"/>
      <c r="AH52" s="1072"/>
      <c r="AI52" s="1073"/>
      <c r="AJ52" s="1071"/>
      <c r="AK52" s="1073"/>
      <c r="AL52" s="1074"/>
      <c r="AM52" s="1075"/>
      <c r="AN52" s="1076"/>
      <c r="AO52" s="1077"/>
      <c r="AP52" s="1078"/>
      <c r="AQ52" s="1079"/>
      <c r="AR52" s="1078"/>
      <c r="AS52" s="1080"/>
      <c r="AT52" s="1081"/>
      <c r="AU52" s="1082"/>
      <c r="AV52" s="1083"/>
      <c r="AW52" s="1082"/>
      <c r="AX52" s="1084"/>
      <c r="AY52" s="1085"/>
      <c r="AZ52" s="1086"/>
      <c r="BA52" s="1087"/>
      <c r="BB52" s="1088"/>
      <c r="BC52" s="1089"/>
      <c r="BD52" s="1090"/>
      <c r="BE52" s="1090"/>
      <c r="BF52" s="1091"/>
      <c r="BG52" s="1092"/>
      <c r="BH52" s="1093"/>
      <c r="BI52" s="1094"/>
      <c r="BJ52" s="1271"/>
      <c r="BK52" s="1096"/>
      <c r="BL52" s="1095"/>
      <c r="BM52" s="1097"/>
      <c r="BN52" s="1075"/>
      <c r="BO52" s="1098"/>
      <c r="BP52" s="1099"/>
      <c r="BQ52" s="1100"/>
      <c r="BR52" s="1094"/>
      <c r="BS52" s="1082"/>
      <c r="BT52" s="1101"/>
      <c r="BU52" s="1082"/>
      <c r="BV52" s="1097"/>
      <c r="BW52" s="1102"/>
      <c r="BX52" s="1103"/>
      <c r="BY52" s="1104"/>
      <c r="BZ52" s="1091"/>
      <c r="CA52" s="1105"/>
      <c r="CB52" s="27"/>
      <c r="CC52" s="1106"/>
      <c r="CD52" s="1065"/>
      <c r="CE52" s="181"/>
      <c r="CF52" s="181"/>
      <c r="CG52" s="1107"/>
      <c r="CH52" s="181"/>
      <c r="CI52" s="1134"/>
      <c r="CJ52" s="181"/>
      <c r="CK52" s="1109"/>
      <c r="CL52" s="1110"/>
      <c r="CM52" s="1111"/>
      <c r="CN52" s="1110"/>
      <c r="CO52" s="1112"/>
      <c r="CP52" s="1109"/>
      <c r="CQ52" s="1110"/>
      <c r="CR52" s="1113"/>
      <c r="CS52" s="1110"/>
      <c r="CT52" s="1112"/>
      <c r="CU52" s="1114"/>
      <c r="CV52" s="1115"/>
      <c r="CW52" s="1116"/>
      <c r="CX52" s="1117"/>
      <c r="CY52" s="1116"/>
      <c r="CZ52" s="1117"/>
      <c r="DA52" s="1116"/>
      <c r="DB52" s="1117"/>
      <c r="DC52" s="1118"/>
      <c r="DD52" s="1119"/>
      <c r="DE52" s="1119"/>
      <c r="DF52" s="1065"/>
      <c r="DG52" s="1065"/>
      <c r="DH52" s="1065"/>
      <c r="DI52" s="1065"/>
      <c r="DJ52" s="1065"/>
      <c r="DK52" s="1065"/>
      <c r="DL52" s="1091"/>
      <c r="DM52" s="1110"/>
      <c r="DN52" s="1120"/>
      <c r="DO52" s="181"/>
      <c r="DP52" s="1135"/>
      <c r="DQ52" s="1120"/>
      <c r="DR52" s="1112"/>
      <c r="DS52" s="1122"/>
      <c r="DT52" s="1123"/>
      <c r="DU52" s="1124"/>
      <c r="DV52" s="1085"/>
      <c r="DW52" s="1125"/>
      <c r="DX52" s="1126"/>
      <c r="DY52" s="1127"/>
      <c r="DZ52" s="1081"/>
      <c r="EA52" s="1083"/>
      <c r="EB52" s="1083"/>
      <c r="EC52" s="1083"/>
      <c r="ED52" s="1128"/>
      <c r="EE52" s="1083"/>
      <c r="EF52" s="1129"/>
      <c r="EG52" s="1081"/>
      <c r="EH52" s="1083"/>
      <c r="EI52" s="1083"/>
      <c r="EJ52" s="1083"/>
      <c r="EK52" s="1128"/>
      <c r="EL52" s="181"/>
      <c r="EM52" s="1109"/>
      <c r="EN52" s="1131"/>
      <c r="EO52" s="1085"/>
    </row>
    <row r="53" spans="1:174" s="396" customFormat="1" ht="16.5" customHeight="1" x14ac:dyDescent="0.2">
      <c r="A53" s="101">
        <v>6</v>
      </c>
      <c r="B53" s="517">
        <v>1</v>
      </c>
      <c r="C53" s="35"/>
      <c r="D53" s="35" t="str">
        <f t="shared" ref="D53:D74" si="48">IF(F53="Nam","Ông","Bà")</f>
        <v>Bà</v>
      </c>
      <c r="E53" s="40" t="s">
        <v>60</v>
      </c>
      <c r="F53" s="35" t="s">
        <v>381</v>
      </c>
      <c r="G53" s="64" t="s">
        <v>276</v>
      </c>
      <c r="H53" s="620" t="s">
        <v>360</v>
      </c>
      <c r="I53" s="64" t="s">
        <v>343</v>
      </c>
      <c r="J53" s="620" t="s">
        <v>360</v>
      </c>
      <c r="K53" s="40">
        <v>1973</v>
      </c>
      <c r="L53" s="193" t="s">
        <v>452</v>
      </c>
      <c r="M53" s="652" t="str">
        <f t="shared" ref="M53:M74" si="49">IF(L53="công chức","CC",IF(L53="viên chức","VC",IF(L53="người lao động","NLĐ","- - -")))</f>
        <v>VC</v>
      </c>
      <c r="N53" s="199"/>
      <c r="O53" s="621" t="e">
        <f t="shared" ref="O53:O74" si="50">IF(AND((Q53+0)&gt;0.3,(Q53+0)&lt;1.5),"CVụ","- -")</f>
        <v>#N/A</v>
      </c>
      <c r="P53" s="40"/>
      <c r="Q53" s="371" t="e">
        <f>VLOOKUP(P53,'Du lieu lien quan'!$C$2:$H$115,2,0)</f>
        <v>#N/A</v>
      </c>
      <c r="R53" s="407" t="s">
        <v>565</v>
      </c>
      <c r="S53" s="263" t="s">
        <v>127</v>
      </c>
      <c r="T53" s="54" t="str">
        <f>VLOOKUP(Y53,'Du lieu lien quan'!$C$2:$H$60,5,0)</f>
        <v>A1</v>
      </c>
      <c r="U53" s="34" t="str">
        <f>VLOOKUP(Y53,'Du lieu lien quan'!$C$2:$H$60,6,0)</f>
        <v>- - -</v>
      </c>
      <c r="V53" s="663" t="s">
        <v>424</v>
      </c>
      <c r="W53" s="512" t="str">
        <f t="shared" ref="W53:W74" si="51">IF(OR(Y53="Kỹ thuật viên đánh máy",Y53="Nhân viên đánh máy",Y53="Nhân viên kỹ thuật",Y53="Nhân viên văn thư",Y53="Nhân viên phục vụ",Y53="Lái xe cơ quan",Y53="Nhân viên bảo vệ"),"Nhân viên",Y53)</f>
        <v>Giảng viên (hạng III)</v>
      </c>
      <c r="X53" s="373" t="str">
        <f t="shared" ref="X53:X74" si="52">IF(W53="Nhân viên","01.005",Z53)</f>
        <v>V.07.01.03</v>
      </c>
      <c r="Y53" s="397" t="s">
        <v>430</v>
      </c>
      <c r="Z53" s="397" t="str">
        <f>VLOOKUP(Y53,'Du lieu lien quan'!$C$1:$H$133,2,0)</f>
        <v>V.07.01.03</v>
      </c>
      <c r="AA53" s="52" t="str">
        <f t="shared" ref="AA53:AA74" si="53">IF(OR(AND(BC53=36,BB53=3),AND(BC53=24,BB53=2),AND(BC53=12,BB53=1)),"Đến $",IF(OR(AND(BC53&gt;36,BB53=3),AND(BC53&gt;24,BB53=2),AND(BC53&gt;12,BB53=1)),"Dừng $","Lương"))</f>
        <v>Lương</v>
      </c>
      <c r="AB53" s="622">
        <v>5</v>
      </c>
      <c r="AC53" s="495" t="str">
        <f>IF(AD53&gt;0,"/")</f>
        <v>/</v>
      </c>
      <c r="AD53" s="43">
        <f>IF(OR(BE53=0.18,BE53=0.2),12,IF(BE53=0.31,10,IF(BE53=0.33,9,IF(BE53=0.34,8,IF(BE53=0.36,6)))))</f>
        <v>9</v>
      </c>
      <c r="AE53" s="44">
        <f t="shared" ref="AE53:AE74" si="54">BD53+(AB53-1)*BE53</f>
        <v>3.66</v>
      </c>
      <c r="AF53" s="44"/>
      <c r="AG53" s="44"/>
      <c r="AH53" s="44"/>
      <c r="AI53" s="99" t="s">
        <v>360</v>
      </c>
      <c r="AJ53" s="44"/>
      <c r="AK53" s="99" t="s">
        <v>360</v>
      </c>
      <c r="AL53" s="623"/>
      <c r="AM53" s="261"/>
      <c r="AN53" s="262"/>
      <c r="AO53" s="508">
        <f t="shared" ref="AO53:AO74" si="55">AB53+1</f>
        <v>6</v>
      </c>
      <c r="AP53" s="47" t="str">
        <f t="shared" ref="AP53:AP74" si="56">IF(AD53=AB53,"%",IF(AD53&gt;AB53,"/"))</f>
        <v>/</v>
      </c>
      <c r="AQ53" s="624">
        <f t="shared" ref="AQ53:AQ74" si="57">IF(AND(AD53=AB53,AO53=4),5,IF(AND(AD53=AB53,AO53&gt;4),AO53+1,IF(AD53&gt;AB53,AD53)))</f>
        <v>9</v>
      </c>
      <c r="AR53" s="47">
        <f t="shared" ref="AR53:AR74" si="58">IF(AD53=AB53,"%",IF(AD53&gt;AB53,AE53+BE53))</f>
        <v>3.99</v>
      </c>
      <c r="AS53" s="47"/>
      <c r="AT53" s="81" t="s">
        <v>342</v>
      </c>
      <c r="AU53" s="75" t="s">
        <v>360</v>
      </c>
      <c r="AV53" s="82" t="s">
        <v>372</v>
      </c>
      <c r="AW53" s="75" t="s">
        <v>360</v>
      </c>
      <c r="AX53" s="40">
        <v>2020</v>
      </c>
      <c r="AY53" s="40"/>
      <c r="AZ53" s="469"/>
      <c r="BA53" s="480"/>
      <c r="BB53" s="51">
        <f t="shared" ref="BB53:BB74" si="59">IF(AND(AD53&gt;AB53,OR(BE53=0.18,BE53=0.2)),2,IF(AND(AD53&gt;AB53,OR(BE53=0.31,BE53=0.33,BE53=0.34,BE53=0.36)),3,IF(AD53=AB53,1)))</f>
        <v>3</v>
      </c>
      <c r="BC53" s="513">
        <f t="shared" ref="BC53:BC74" si="60">12*($AA$2-AX53)+($AA$3-AV53)-AM53</f>
        <v>-24250</v>
      </c>
      <c r="BD53" s="280">
        <f>VLOOKUP(Y53,'Du lieu lien quan'!$C$1:$F$60,3,0)</f>
        <v>2.34</v>
      </c>
      <c r="BE53" s="280">
        <f>VLOOKUP(Y53,'Du lieu lien quan'!$C$1:$F$60,4,0)</f>
        <v>0.33</v>
      </c>
      <c r="BF53" s="57" t="str">
        <f t="shared" ref="BF53:BF74" si="61">IF(AND(BG53&gt;3,BY53=12),"Đến %",IF(AND(BG53&gt;3,BY53&gt;12,BY53&lt;120),"Dừng %",IF(AND(BG53&gt;3,BY53&lt;12),"PCTN","o-o-o")))</f>
        <v>PCTN</v>
      </c>
      <c r="BG53" s="625">
        <v>16</v>
      </c>
      <c r="BH53" s="626" t="s">
        <v>333</v>
      </c>
      <c r="BI53" s="630" t="s">
        <v>342</v>
      </c>
      <c r="BJ53" s="627" t="s">
        <v>360</v>
      </c>
      <c r="BK53" s="422">
        <v>10</v>
      </c>
      <c r="BL53" s="627" t="s">
        <v>360</v>
      </c>
      <c r="BM53" s="40">
        <v>2021</v>
      </c>
      <c r="BN53" s="261"/>
      <c r="BO53" s="629"/>
      <c r="BP53" s="625">
        <f t="shared" ref="BP53:BP74" si="62">IF(BG53&gt;3,BG53+1,0)</f>
        <v>17</v>
      </c>
      <c r="BQ53" s="262" t="s">
        <v>333</v>
      </c>
      <c r="BR53" s="630" t="s">
        <v>342</v>
      </c>
      <c r="BS53" s="75" t="s">
        <v>360</v>
      </c>
      <c r="BT53" s="420">
        <v>10</v>
      </c>
      <c r="BU53" s="75" t="s">
        <v>360</v>
      </c>
      <c r="BV53" s="40">
        <v>2022</v>
      </c>
      <c r="BW53" s="83"/>
      <c r="BX53" s="161"/>
      <c r="BY53" s="514">
        <f t="shared" ref="BY53:BY74" si="63">IF(BG53&gt;3,(($BF$2-BV53)*12+($BF$3-BT53)-BN53),"- - -")</f>
        <v>-24274</v>
      </c>
      <c r="BZ53" s="57" t="str">
        <f t="shared" ref="BZ53:BZ59" si="64">IF(AND(CV53="Hưu",BG53&gt;3),12-(12*(DB53-BV53)+(DA53-BT53))-BN53,"- - -")</f>
        <v>- - -</v>
      </c>
      <c r="CA53" s="392" t="str">
        <f t="shared" ref="CA53:CA74" si="65">IF(OR(S53="Ban Tổ chức - Cán bộ",S53="Văn phòng Học viện",S53="Phó Giám đốc Thường trực Học viện",S53="Phó Giám đốc Học viện"),"Chánh Văn phòng Học viện, Trưởng Ban Tổ chức - Cán bộ",IF(OR(S53="Trung tâm Ngoại ngữ",S53="Trung tâm Tin học hành chính và Công nghệ thông tin",S53="Trung tâm Tin học - Thư viện",S53="Phân viện khu vực Tây Nguyên"),"Chánh Văn phòng Học viện, Trưởng Ban Tổ chức - Cán bộ, "&amp;CONCATENATE("Giám đốc ",S53),IF(S53="Tạp chí Quản lý nhà nước","Chánh Văn phòng Học viện, Trưởng Ban Tổ chức - Cán bộ, "&amp;CONCATENATE("Tổng Biên tập ",S53),IF(S53="Văn phòng Đảng uỷ Học viện","Chánh Văn phòng Học viện, Trưởng Ban Tổ chức - Cán bộ, "&amp;CONCATENATE("Chánh",S53),IF(S53="Viện Nghiên cứu Khoa học hành chính","Chánh Văn phòng Học viện, Trưởng Ban Tổ chức - Cán bộ, "&amp;CONCATENATE("Viện Trưởng ",S53),IF(OR(S53="Cơ sở Học viện Hành chính Quốc gia khu vực miền Trung",S53="Cơ sở Học viện Hành chính Quốc gia tại Thành phố Hồ Chí Minh"),"Chánh Văn phòng Học viện, Trưởng Ban Tổ chức - Cán bộ, "&amp;CONCATENATE("Thủ trưởng ",S53),"Chánh Văn phòng Học viện, Trưởng Ban Tổ chức - Cán bộ, "&amp;CONCATENATE("Trưởng ",S53)))))))</f>
        <v>Chánh Văn phòng Học viện, Trưởng Ban Tổ chức - Cán bộ, Trưởng Ban Hợp tác quốc tế</v>
      </c>
      <c r="CB53" s="63" t="str">
        <f t="shared" ref="CB53:CB74" si="66">IF(S53="Cơ sở Học viện Hành chính khu vực miền Trung","B",IF(S53="Phân viện Khu vực Tây Nguyên","C",IF(S53="Cơ sở Học viện Hành chính tại thành phố Hồ Chí Minh","D","A")))</f>
        <v>A</v>
      </c>
      <c r="CC53" s="52" t="str">
        <f t="shared" ref="CC53:CC74" si="67">IF(AND(AO53&gt;0,AB53&lt;(AD53-1),CD53&gt;0,CD53&lt;13,OR(AND(CJ53="Cùg Ng",($CC$2-CF53)&gt;BB53),CJ53="- - -")),"Sớm TT","=&gt; s")</f>
        <v>=&gt; s</v>
      </c>
      <c r="CD53" s="52">
        <f t="shared" ref="CD53:CD74" si="68">IF(BB53=3,36-(12*($CC$2-AX53)+(12-AV53)-AM53),IF(BB53=2,24-(12*($CC$2-AX53)+(12-AV53)-AM53),"---"))</f>
        <v>24274</v>
      </c>
      <c r="CE53" s="35" t="str">
        <f t="shared" ref="CE53:CE74" si="69">IF(CF53&gt;1,"S","---")</f>
        <v>---</v>
      </c>
      <c r="CF53" s="35"/>
      <c r="CG53" s="373"/>
      <c r="CH53" s="35"/>
      <c r="CI53" s="35"/>
      <c r="CJ53" s="35" t="str">
        <f t="shared" ref="CJ53:CJ74" si="70">IF(X53=CG53,"Cùg Ng","- - -")</f>
        <v>- - -</v>
      </c>
      <c r="CK53" s="55" t="str">
        <f t="shared" ref="CK53:CK74" si="71">IF(CM53&gt;2000,"NN","- - -")</f>
        <v>- - -</v>
      </c>
      <c r="CL53" s="55"/>
      <c r="CM53" s="35"/>
      <c r="CN53" s="55"/>
      <c r="CO53" s="55"/>
      <c r="CP53" s="55" t="str">
        <f t="shared" ref="CP53:CP74" si="72">IF(CR53&gt;2000,"CN","- - -")</f>
        <v>- - -</v>
      </c>
      <c r="CQ53" s="55"/>
      <c r="CR53" s="35"/>
      <c r="CS53" s="55"/>
      <c r="CT53" s="55"/>
      <c r="CU53" s="631" t="str">
        <f t="shared" ref="CU53:CU74" si="73">IF(AND(CV53="Hưu",AB53&lt;(AD53-1),DC53&gt;0,DC53&lt;18,OR(BG53&lt;4,AND(BG53&gt;3,OR(BZ53&lt;3,BZ53&gt;5)))),"Lg Sớm",IF(AND(CV53="Hưu",AB53&gt;(AD53-2),OR(BE53=0.33,BE53=0.34),OR(BG53&lt;4,AND(BG53&gt;3,OR(BZ53&lt;3,BZ53&gt;5)))),"Nâng Ngạch",IF(AND(CV53="Hưu",BB53=1,DC53&gt;2,DC53&lt;6,OR(BG53&lt;4,AND(BG53&gt;3,OR(BZ53&lt;3,BZ53&gt;5)))),"Nâng PcVK cùng QĐ",IF(AND(CV53="Hưu",BG53&gt;3,BZ53&gt;2,BZ53&lt;6,AB53&lt;(AD53-1),DC53&gt;17,OR(BB53&gt;1,AND(BB53=1,OR(DC53&lt;3,DC53&gt;5)))),"Nâng PcNG cùng QĐ",IF(AND(CV53="Hưu",AB53&lt;(AD53-1),DC53&gt;0,DC53&lt;18,BG53&gt;3,BZ53&gt;2,BZ53&lt;6),"Nâng Lg Sớm +(PcNG cùng QĐ)",IF(AND(CV53="Hưu",AB53&gt;(AD53-2),OR(BE53=0.33,BE53=0.34),BG53&gt;3,BZ53&gt;2,BZ53&lt;6),"Nâng Ngạch +(PcNG cùng QĐ)",IF(AND(CV53="Hưu",BB53=1,DC53&gt;2,DC53&lt;6,BG53&gt;3,BZ53&gt;2,BZ53&lt;6),"Nâng (PcVK +PcNG) cùng QĐ",("---"))))))))</f>
        <v>---</v>
      </c>
      <c r="CV53" s="70" t="str">
        <f t="shared" ref="CV53:CV74" si="74">IF(AND(DG53&gt;DF53,DG53&lt;(DF53+13)),"Hưu",IF(AND(DG53&gt;(DF53+12),DG53&lt;1000),"Quá","/-/ /-/"))</f>
        <v>/-/ /-/</v>
      </c>
      <c r="CW53" s="98">
        <f t="shared" ref="CW53:CW74" si="75">IF((I53+0)&lt;12,(I53+0)+1,IF((I53+0)=12,1,IF((I53+0)&gt;12,(I53+0)-12)))</f>
        <v>3</v>
      </c>
      <c r="CX53" s="98">
        <f t="shared" ref="CX53:CX74" si="76">IF(OR((I53+0)=12,(I53+0)&gt;12),K53+DF53/12+1,IF(AND((I53+0)&gt;0,(I53+0)&lt;12),K53+DF53/12,"---"))</f>
        <v>2028</v>
      </c>
      <c r="CY53" s="98">
        <f t="shared" ref="CY53:CY74" si="77">IF(AND(CW53&gt;3,CW53&lt;13),CW53-3,IF(CW53&lt;4,CW53-3+12))</f>
        <v>12</v>
      </c>
      <c r="CZ53" s="98">
        <f t="shared" ref="CZ53:CZ74" si="78">IF(CY53&lt;CW53,CX53,IF(CY53&gt;CW53,CX53-1))</f>
        <v>2027</v>
      </c>
      <c r="DA53" s="98">
        <f t="shared" ref="DA53:DA74" si="79">IF(CW53&gt;6,CW53-6,IF(CW53=6,12,IF(CW53&lt;6,CW53+6)))</f>
        <v>9</v>
      </c>
      <c r="DB53" s="98">
        <f t="shared" ref="DB53:DB74" si="80">IF(CW53&gt;6,CX53,IF(CW53&lt;7,CX53-1))</f>
        <v>2027</v>
      </c>
      <c r="DC53" s="79" t="str">
        <f t="shared" ref="DC53:DC74" si="81">IF(AND(CV53="Hưu",BB53=3),36+AM53-(12*(DB53-AX53)+(DA53-AV53)),IF(AND(CV53="Hưu",BB53=2),24+AM53-(12*(DB53-AX53)+(DA53-AV53)),IF(AND(CV53="Hưu",BB53=1),12+AM53-(12*(DB53-AX53)+(DA53-AV53)),"- - -")))</f>
        <v>- - -</v>
      </c>
      <c r="DD53" s="632" t="str">
        <f t="shared" ref="DD53:DD74" si="82">IF(DE53&gt;0,"K.Dài",". .")</f>
        <v>. .</v>
      </c>
      <c r="DE53" s="632"/>
      <c r="DF53" s="52">
        <f t="shared" ref="DF53:DF74" si="83">IF(F53="Nam",(60+DE53)*12,IF(F53="Nữ",(55+DE53)*12,))</f>
        <v>660</v>
      </c>
      <c r="DG53" s="52">
        <f t="shared" ref="DG53:DG74" si="84">12*($CV$4-K53)+(12-I53)</f>
        <v>-23666</v>
      </c>
      <c r="DH53" s="52">
        <f t="shared" ref="DH53:DH74" si="85">$DL$4-K53</f>
        <v>-1973</v>
      </c>
      <c r="DI53" s="52" t="str">
        <f t="shared" ref="DI53:DI74" si="86">IF(AND(DH53&lt;35,F53="Nam"),"Nam dưới 35",IF(AND(DH53&lt;30,F53="Nữ"),"Nữ dưới 30",IF(AND(DH53&gt;34,DH53&lt;46,F53="Nam"),"Nam từ 35 - 45",IF(AND(DH53&gt;29,DH53&lt;41,F53="Nữ"),"Nữ từ 30 - 40",IF(AND(DH53&gt;45,DH53&lt;56,F53="Nam"),"Nam trên 45 - 55",IF(AND(DH53&gt;40,DH53&lt;51,F53="Nữ"),"Nữ trên 40 - 50",IF(AND(DH53&gt;55,F53="Nam"),"Nam trên 55","Nữ trên 50")))))))</f>
        <v>Nữ dưới 30</v>
      </c>
      <c r="DJ53" s="52"/>
      <c r="DK53" s="52"/>
      <c r="DL53" s="57" t="str">
        <f t="shared" ref="DL53:DL74" si="87">IF(DH53&lt;31,"Đến 30",IF(AND(DH53&gt;30,DH53&lt;46),"31 - 45",IF(AND(DH53&gt;45,DH53&lt;70),"Trên 45")))</f>
        <v>Đến 30</v>
      </c>
      <c r="DM53" s="55" t="str">
        <f t="shared" ref="DM53:DM74" si="88">IF(DN53&gt;0,"TD","--")</f>
        <v>TD</v>
      </c>
      <c r="DN53" s="35">
        <v>2012</v>
      </c>
      <c r="DO53" s="35"/>
      <c r="DP53" s="55"/>
      <c r="DQ53" s="55"/>
      <c r="DR53" s="55"/>
      <c r="DS53" s="55"/>
      <c r="DT53" s="86"/>
      <c r="DU53" s="76"/>
      <c r="DV53" s="40"/>
      <c r="DW53" s="86" t="s">
        <v>128</v>
      </c>
      <c r="DX53" s="263" t="s">
        <v>127</v>
      </c>
      <c r="DY53" s="86" t="s">
        <v>128</v>
      </c>
      <c r="DZ53" s="81" t="s">
        <v>342</v>
      </c>
      <c r="EA53" s="82" t="s">
        <v>360</v>
      </c>
      <c r="EB53" s="82" t="s">
        <v>372</v>
      </c>
      <c r="EC53" s="82" t="s">
        <v>360</v>
      </c>
      <c r="ED53" s="633" t="s">
        <v>364</v>
      </c>
      <c r="EE53" s="82">
        <f>(DZ53+0)-(EG53+0)</f>
        <v>0</v>
      </c>
      <c r="EF53" s="35" t="str">
        <f>IF(EE53&gt;0,"Sửa","- - -")</f>
        <v>- - -</v>
      </c>
      <c r="EG53" s="81" t="s">
        <v>342</v>
      </c>
      <c r="EH53" s="82" t="s">
        <v>360</v>
      </c>
      <c r="EI53" s="82" t="s">
        <v>372</v>
      </c>
      <c r="EJ53" s="82" t="s">
        <v>360</v>
      </c>
      <c r="EK53" s="633" t="s">
        <v>364</v>
      </c>
      <c r="EL53" s="35"/>
      <c r="EM53" s="55" t="str">
        <f t="shared" ref="EM53:EM74" si="89">IF(AND(BE53&gt;0.34,AO53=1,OR(BD53=6.2,BD53=5.75)),((BD53-EL53)-2*0.34),IF(AND(BE53&gt;0.33,AO53=1,OR(BD53=4.4,BD53=4)),((BD53-EL53)-2*0.33),"- - -"))</f>
        <v>- - -</v>
      </c>
      <c r="EN53" s="79" t="str">
        <f t="shared" ref="EN53:EN74" si="90">IF(CV53="Hưu",12*(DB53-AX53)+(DA53-AV53),"---")</f>
        <v>---</v>
      </c>
      <c r="EO53" s="40"/>
      <c r="EP53" s="176"/>
      <c r="EQ53" s="176"/>
      <c r="ER53" s="176"/>
      <c r="ES53" s="176"/>
      <c r="ET53" s="176"/>
      <c r="EU53" s="176"/>
      <c r="EV53" s="176"/>
      <c r="EW53" s="176"/>
      <c r="EX53" s="176"/>
      <c r="EY53" s="176"/>
      <c r="EZ53" s="176"/>
      <c r="FA53" s="176"/>
      <c r="FB53" s="176"/>
      <c r="FC53" s="176"/>
      <c r="FD53" s="176"/>
      <c r="FE53" s="176"/>
      <c r="FF53" s="176"/>
      <c r="FG53" s="176"/>
      <c r="FH53" s="176"/>
      <c r="FI53" s="176"/>
      <c r="FJ53" s="176"/>
      <c r="FK53" s="176"/>
      <c r="FL53" s="176"/>
      <c r="FM53" s="98"/>
      <c r="FN53" s="258"/>
      <c r="FO53" s="258"/>
      <c r="FP53" s="258"/>
      <c r="FQ53" s="258"/>
      <c r="FR53" s="258"/>
    </row>
    <row r="54" spans="1:174" s="136" customFormat="1" ht="11.25" customHeight="1" x14ac:dyDescent="0.25">
      <c r="A54" s="101">
        <v>34</v>
      </c>
      <c r="B54" s="371">
        <v>2</v>
      </c>
      <c r="C54" s="35"/>
      <c r="D54" s="35" t="str">
        <f t="shared" si="48"/>
        <v>Ông</v>
      </c>
      <c r="E54" s="40" t="s">
        <v>24</v>
      </c>
      <c r="F54" s="35" t="s">
        <v>379</v>
      </c>
      <c r="G54" s="64" t="s">
        <v>277</v>
      </c>
      <c r="H54" s="620" t="s">
        <v>360</v>
      </c>
      <c r="I54" s="64" t="s">
        <v>349</v>
      </c>
      <c r="J54" s="620" t="s">
        <v>360</v>
      </c>
      <c r="K54" s="40" t="s">
        <v>321</v>
      </c>
      <c r="L54" s="193" t="s">
        <v>452</v>
      </c>
      <c r="M54" s="652" t="str">
        <f t="shared" si="49"/>
        <v>VC</v>
      </c>
      <c r="N54" s="199"/>
      <c r="O54" s="621" t="str">
        <f t="shared" si="50"/>
        <v>CVụ</v>
      </c>
      <c r="P54" s="40" t="s">
        <v>391</v>
      </c>
      <c r="Q54" s="371">
        <f>VLOOKUP(P54,'Du lieu lien quan'!$C$2:$H$115,2,0)</f>
        <v>1</v>
      </c>
      <c r="R54" s="40"/>
      <c r="S54" s="263" t="s">
        <v>559</v>
      </c>
      <c r="T54" s="38" t="str">
        <f>VLOOKUP(Y54,'Du lieu lien quan'!$C$2:$H$60,5,0)</f>
        <v>A2</v>
      </c>
      <c r="U54" s="39" t="str">
        <f>VLOOKUP(Y54,'Du lieu lien quan'!$C$2:$H$60,6,0)</f>
        <v>A2.1</v>
      </c>
      <c r="V54" s="663" t="s">
        <v>424</v>
      </c>
      <c r="W54" s="370" t="str">
        <f t="shared" si="51"/>
        <v>Giảng viên chính (hạng II)</v>
      </c>
      <c r="X54" s="373" t="str">
        <f t="shared" si="52"/>
        <v>V.07.01.02</v>
      </c>
      <c r="Y54" s="397" t="s">
        <v>431</v>
      </c>
      <c r="Z54" s="397" t="str">
        <f>VLOOKUP(Y54,'Du lieu lien quan'!$C$1:$H$133,2,0)</f>
        <v>V.07.01.02</v>
      </c>
      <c r="AA54" s="468" t="str">
        <f t="shared" si="53"/>
        <v>Lương</v>
      </c>
      <c r="AB54" s="148">
        <v>3</v>
      </c>
      <c r="AC54" s="495" t="str">
        <f>IF(AD54&gt;0,"/")</f>
        <v>/</v>
      </c>
      <c r="AD54" s="43">
        <f>IF(OR(BE54=0.18,BE54=0.2),12,IF(BE54=0.31,10,IF(BE54=0.33,9,IF(BE54=0.34,8,IF(BE54=0.36,6)))))</f>
        <v>8</v>
      </c>
      <c r="AE54" s="44">
        <f t="shared" si="54"/>
        <v>5.08</v>
      </c>
      <c r="AF54" s="409"/>
      <c r="AG54" s="109"/>
      <c r="AH54" s="485"/>
      <c r="AI54" s="493" t="s">
        <v>360</v>
      </c>
      <c r="AJ54" s="44"/>
      <c r="AK54" s="493" t="s">
        <v>360</v>
      </c>
      <c r="AL54" s="44"/>
      <c r="AM54" s="162"/>
      <c r="AN54" s="53"/>
      <c r="AO54" s="324">
        <f t="shared" si="55"/>
        <v>4</v>
      </c>
      <c r="AP54" s="256" t="str">
        <f t="shared" si="56"/>
        <v>/</v>
      </c>
      <c r="AQ54" s="87">
        <f t="shared" si="57"/>
        <v>8</v>
      </c>
      <c r="AR54" s="47">
        <f t="shared" si="58"/>
        <v>5.42</v>
      </c>
      <c r="AS54" s="413"/>
      <c r="AT54" s="48" t="s">
        <v>342</v>
      </c>
      <c r="AU54" s="484" t="s">
        <v>360</v>
      </c>
      <c r="AV54" s="82" t="s">
        <v>342</v>
      </c>
      <c r="AW54" s="484" t="s">
        <v>360</v>
      </c>
      <c r="AX54" s="40">
        <v>2020</v>
      </c>
      <c r="AY54" s="91"/>
      <c r="AZ54" s="473" t="s">
        <v>628</v>
      </c>
      <c r="BA54" s="480">
        <v>1.18</v>
      </c>
      <c r="BB54" s="51">
        <f t="shared" si="59"/>
        <v>3</v>
      </c>
      <c r="BC54" s="328">
        <f t="shared" si="60"/>
        <v>-24241</v>
      </c>
      <c r="BD54" s="280">
        <f>VLOOKUP(Y54,'Du lieu lien quan'!$C$1:$F$60,3,0)</f>
        <v>4.4000000000000004</v>
      </c>
      <c r="BE54" s="280">
        <f>VLOOKUP(Y54,'Du lieu lien quan'!$C$1:$F$60,4,0)</f>
        <v>0.34</v>
      </c>
      <c r="BF54" s="57" t="str">
        <f t="shared" si="61"/>
        <v>PCTN</v>
      </c>
      <c r="BG54" s="58">
        <v>24</v>
      </c>
      <c r="BH54" s="432" t="s">
        <v>333</v>
      </c>
      <c r="BI54" s="470" t="s">
        <v>342</v>
      </c>
      <c r="BJ54" s="489" t="s">
        <v>360</v>
      </c>
      <c r="BK54" s="422">
        <v>10</v>
      </c>
      <c r="BL54" s="489" t="s">
        <v>360</v>
      </c>
      <c r="BM54" s="40">
        <v>2021</v>
      </c>
      <c r="BN54" s="162"/>
      <c r="BO54" s="62"/>
      <c r="BP54" s="59">
        <f t="shared" si="62"/>
        <v>25</v>
      </c>
      <c r="BQ54" s="429" t="s">
        <v>333</v>
      </c>
      <c r="BR54" s="470" t="s">
        <v>342</v>
      </c>
      <c r="BS54" s="484" t="s">
        <v>360</v>
      </c>
      <c r="BT54" s="420">
        <v>10</v>
      </c>
      <c r="BU54" s="484" t="s">
        <v>360</v>
      </c>
      <c r="BV54" s="40">
        <v>2022</v>
      </c>
      <c r="BW54" s="61"/>
      <c r="BX54" s="161"/>
      <c r="BY54" s="329">
        <f t="shared" si="63"/>
        <v>-24274</v>
      </c>
      <c r="BZ54" s="57" t="str">
        <f t="shared" si="64"/>
        <v>- - -</v>
      </c>
      <c r="CA54" s="392" t="str">
        <f t="shared" si="65"/>
        <v>Chánh Văn phòng Học viện, Trưởng Ban Tổ chức - Cán bộ, Trưởng Trung tâm Ngoại ngữ - Tin học và Thông tin - Thư viện</v>
      </c>
      <c r="CB54" s="63" t="str">
        <f t="shared" si="66"/>
        <v>A</v>
      </c>
      <c r="CC54" s="41" t="str">
        <f t="shared" si="67"/>
        <v>=&gt; s</v>
      </c>
      <c r="CD54" s="52">
        <f t="shared" si="68"/>
        <v>24265</v>
      </c>
      <c r="CE54" s="35" t="str">
        <f t="shared" si="69"/>
        <v>S</v>
      </c>
      <c r="CF54" s="35">
        <v>2014</v>
      </c>
      <c r="CG54" s="379" t="s">
        <v>428</v>
      </c>
      <c r="CH54" s="35"/>
      <c r="CI54" s="35"/>
      <c r="CJ54" s="35" t="str">
        <f t="shared" si="70"/>
        <v>Cùg Ng</v>
      </c>
      <c r="CK54" s="55" t="str">
        <f t="shared" si="71"/>
        <v>NN</v>
      </c>
      <c r="CL54" s="65">
        <v>7</v>
      </c>
      <c r="CM54" s="66">
        <v>2012</v>
      </c>
      <c r="CN54" s="65"/>
      <c r="CO54" s="84"/>
      <c r="CP54" s="55" t="str">
        <f t="shared" si="72"/>
        <v>- - -</v>
      </c>
      <c r="CQ54" s="65"/>
      <c r="CR54" s="66"/>
      <c r="CS54" s="65"/>
      <c r="CT54" s="84"/>
      <c r="CU54" s="69" t="str">
        <f t="shared" si="73"/>
        <v>---</v>
      </c>
      <c r="CV54" s="70" t="str">
        <f t="shared" si="74"/>
        <v>/-/ /-/</v>
      </c>
      <c r="CW54" s="67">
        <f t="shared" si="75"/>
        <v>10</v>
      </c>
      <c r="CX54" s="68">
        <f t="shared" si="76"/>
        <v>2033</v>
      </c>
      <c r="CY54" s="67">
        <f t="shared" si="77"/>
        <v>7</v>
      </c>
      <c r="CZ54" s="68">
        <f t="shared" si="78"/>
        <v>2033</v>
      </c>
      <c r="DA54" s="67">
        <f t="shared" si="79"/>
        <v>4</v>
      </c>
      <c r="DB54" s="68">
        <f t="shared" si="80"/>
        <v>2033</v>
      </c>
      <c r="DC54" s="71" t="str">
        <f t="shared" si="81"/>
        <v>- - -</v>
      </c>
      <c r="DD54" s="72" t="str">
        <f t="shared" si="82"/>
        <v>. .</v>
      </c>
      <c r="DE54" s="72"/>
      <c r="DF54" s="52">
        <f t="shared" si="83"/>
        <v>720</v>
      </c>
      <c r="DG54" s="52">
        <f t="shared" si="84"/>
        <v>-23673</v>
      </c>
      <c r="DH54" s="52">
        <f t="shared" si="85"/>
        <v>-1973</v>
      </c>
      <c r="DI54" s="52" t="str">
        <f t="shared" si="86"/>
        <v>Nam dưới 35</v>
      </c>
      <c r="DJ54" s="52"/>
      <c r="DK54" s="372"/>
      <c r="DL54" s="57" t="str">
        <f t="shared" si="87"/>
        <v>Đến 30</v>
      </c>
      <c r="DM54" s="65" t="str">
        <f t="shared" si="88"/>
        <v>--</v>
      </c>
      <c r="DN54" s="36"/>
      <c r="DO54" s="35"/>
      <c r="DP54" s="73"/>
      <c r="DQ54" s="36"/>
      <c r="DR54" s="36"/>
      <c r="DS54" s="74"/>
      <c r="DT54" s="40"/>
      <c r="DU54" s="76"/>
      <c r="DV54" s="91"/>
      <c r="DW54" s="37"/>
      <c r="DX54" s="391" t="s">
        <v>118</v>
      </c>
      <c r="DY54" s="37"/>
      <c r="DZ54" s="48" t="s">
        <v>342</v>
      </c>
      <c r="EA54" s="49" t="s">
        <v>360</v>
      </c>
      <c r="EB54" s="49" t="s">
        <v>348</v>
      </c>
      <c r="EC54" s="49" t="s">
        <v>360</v>
      </c>
      <c r="ED54" s="77">
        <v>2012</v>
      </c>
      <c r="EE54" s="49">
        <f>(DZ54+0)-(EG54+0)</f>
        <v>0</v>
      </c>
      <c r="EF54" s="78" t="str">
        <f>IF(EE54&gt;0,"Sửa","- - -")</f>
        <v>- - -</v>
      </c>
      <c r="EG54" s="48" t="s">
        <v>342</v>
      </c>
      <c r="EH54" s="49" t="s">
        <v>360</v>
      </c>
      <c r="EI54" s="49" t="s">
        <v>348</v>
      </c>
      <c r="EJ54" s="49" t="s">
        <v>360</v>
      </c>
      <c r="EK54" s="77">
        <v>2012</v>
      </c>
      <c r="EL54" s="88">
        <v>3.99</v>
      </c>
      <c r="EM54" s="55" t="str">
        <f t="shared" si="89"/>
        <v>- - -</v>
      </c>
      <c r="EN54" s="79" t="str">
        <f t="shared" si="90"/>
        <v>---</v>
      </c>
      <c r="EO54" s="91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/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  <c r="FP54" s="80"/>
      <c r="FQ54" s="80"/>
      <c r="FR54" s="80"/>
    </row>
    <row r="55" spans="1:174" s="255" customFormat="1" ht="11.25" customHeight="1" x14ac:dyDescent="0.2">
      <c r="A55" s="101">
        <v>150</v>
      </c>
      <c r="B55" s="517">
        <v>3</v>
      </c>
      <c r="C55" s="35"/>
      <c r="D55" s="35" t="str">
        <f t="shared" si="48"/>
        <v>Bà</v>
      </c>
      <c r="E55" s="40" t="s">
        <v>34</v>
      </c>
      <c r="F55" s="35" t="s">
        <v>381</v>
      </c>
      <c r="G55" s="64" t="s">
        <v>401</v>
      </c>
      <c r="H55" s="620" t="s">
        <v>360</v>
      </c>
      <c r="I55" s="64" t="s">
        <v>347</v>
      </c>
      <c r="J55" s="620" t="s">
        <v>360</v>
      </c>
      <c r="K55" s="40" t="s">
        <v>334</v>
      </c>
      <c r="L55" s="193" t="s">
        <v>452</v>
      </c>
      <c r="M55" s="652" t="str">
        <f t="shared" si="49"/>
        <v>VC</v>
      </c>
      <c r="N55" s="199"/>
      <c r="O55" s="621" t="e">
        <f t="shared" si="50"/>
        <v>#N/A</v>
      </c>
      <c r="P55" s="40"/>
      <c r="Q55" s="371" t="e">
        <f>VLOOKUP(P55,'Du lieu lien quan'!$C$2:$H$115,2,0)</f>
        <v>#N/A</v>
      </c>
      <c r="R55" s="86" t="s">
        <v>30</v>
      </c>
      <c r="S55" s="263" t="s">
        <v>555</v>
      </c>
      <c r="T55" s="38" t="str">
        <f>VLOOKUP(Y55,'Du lieu lien quan'!$C$2:$H$60,5,0)</f>
        <v>A2</v>
      </c>
      <c r="U55" s="39" t="str">
        <f>VLOOKUP(Y55,'Du lieu lien quan'!$C$2:$H$60,6,0)</f>
        <v>A2.1</v>
      </c>
      <c r="V55" s="663" t="s">
        <v>424</v>
      </c>
      <c r="W55" s="370" t="str">
        <f t="shared" si="51"/>
        <v>Giảng viên chính (hạng II)</v>
      </c>
      <c r="X55" s="373" t="str">
        <f t="shared" si="52"/>
        <v>V.07.01.02</v>
      </c>
      <c r="Y55" s="397" t="s">
        <v>431</v>
      </c>
      <c r="Z55" s="397" t="str">
        <f>VLOOKUP(Y55,'Du lieu lien quan'!$C$1:$H$133,2,0)</f>
        <v>V.07.01.02</v>
      </c>
      <c r="AA55" s="52" t="str">
        <f t="shared" si="53"/>
        <v>Lương</v>
      </c>
      <c r="AB55" s="148">
        <v>0</v>
      </c>
      <c r="AC55" s="495" t="str">
        <f>IF(AD55&gt;0,"/")</f>
        <v>/</v>
      </c>
      <c r="AD55" s="43">
        <f>IF(OR(BE55=0.18,BE55=0.2),12,IF(BE55=0.31,10,IF(BE55=0.33,9,IF(BE55=0.34,8,IF(BE55=0.36,6)))))</f>
        <v>8</v>
      </c>
      <c r="AE55" s="44">
        <f t="shared" si="54"/>
        <v>4.0600000000000005</v>
      </c>
      <c r="AF55" s="409"/>
      <c r="AG55" s="109"/>
      <c r="AH55" s="485" t="s">
        <v>342</v>
      </c>
      <c r="AI55" s="493" t="s">
        <v>360</v>
      </c>
      <c r="AJ55" s="115" t="s">
        <v>288</v>
      </c>
      <c r="AK55" s="493" t="s">
        <v>360</v>
      </c>
      <c r="AL55" s="623">
        <v>2018</v>
      </c>
      <c r="AM55" s="162"/>
      <c r="AN55" s="53"/>
      <c r="AO55" s="324">
        <f t="shared" si="55"/>
        <v>1</v>
      </c>
      <c r="AP55" s="256" t="str">
        <f t="shared" si="56"/>
        <v>/</v>
      </c>
      <c r="AQ55" s="87">
        <f t="shared" si="57"/>
        <v>8</v>
      </c>
      <c r="AR55" s="47">
        <f t="shared" si="58"/>
        <v>4.4000000000000004</v>
      </c>
      <c r="AS55" s="413"/>
      <c r="AT55" s="48" t="s">
        <v>342</v>
      </c>
      <c r="AU55" s="484" t="s">
        <v>360</v>
      </c>
      <c r="AV55" s="82" t="s">
        <v>342</v>
      </c>
      <c r="AW55" s="484" t="s">
        <v>360</v>
      </c>
      <c r="AX55" s="40">
        <v>2021</v>
      </c>
      <c r="AY55" s="91"/>
      <c r="AZ55" s="266" t="s">
        <v>639</v>
      </c>
      <c r="BA55" s="480"/>
      <c r="BB55" s="51">
        <f t="shared" si="59"/>
        <v>3</v>
      </c>
      <c r="BC55" s="328">
        <f t="shared" si="60"/>
        <v>-24253</v>
      </c>
      <c r="BD55" s="280">
        <f>VLOOKUP(Y55,'Du lieu lien quan'!$C$1:$F$60,3,0)</f>
        <v>4.4000000000000004</v>
      </c>
      <c r="BE55" s="280">
        <f>VLOOKUP(Y55,'Du lieu lien quan'!$C$1:$F$60,4,0)</f>
        <v>0.34</v>
      </c>
      <c r="BF55" s="57" t="str">
        <f t="shared" si="61"/>
        <v>PCTN</v>
      </c>
      <c r="BG55" s="58">
        <v>15</v>
      </c>
      <c r="BH55" s="424" t="s">
        <v>333</v>
      </c>
      <c r="BI55" s="60" t="s">
        <v>342</v>
      </c>
      <c r="BJ55" s="489" t="s">
        <v>360</v>
      </c>
      <c r="BK55" s="422">
        <v>10</v>
      </c>
      <c r="BL55" s="489" t="s">
        <v>360</v>
      </c>
      <c r="BM55" s="40">
        <v>2021</v>
      </c>
      <c r="BN55" s="162"/>
      <c r="BO55" s="62"/>
      <c r="BP55" s="59">
        <f t="shared" si="62"/>
        <v>16</v>
      </c>
      <c r="BQ55" s="429" t="s">
        <v>333</v>
      </c>
      <c r="BR55" s="60" t="s">
        <v>342</v>
      </c>
      <c r="BS55" s="484" t="s">
        <v>360</v>
      </c>
      <c r="BT55" s="420">
        <v>10</v>
      </c>
      <c r="BU55" s="484" t="s">
        <v>360</v>
      </c>
      <c r="BV55" s="40">
        <v>2022</v>
      </c>
      <c r="BW55" s="61"/>
      <c r="BX55" s="161"/>
      <c r="BY55" s="329">
        <f t="shared" si="63"/>
        <v>-24274</v>
      </c>
      <c r="BZ55" s="57" t="str">
        <f t="shared" si="64"/>
        <v>- - -</v>
      </c>
      <c r="CA55" s="392" t="str">
        <f t="shared" si="65"/>
        <v>Chánh Văn phòng Học viện, Trưởng Ban Tổ chức - Cán bộ, Trưởng Khoa Khoa học hành chính và Tổ chức nhân sự</v>
      </c>
      <c r="CB55" s="63" t="str">
        <f t="shared" si="66"/>
        <v>A</v>
      </c>
      <c r="CC55" s="41" t="str">
        <f t="shared" si="67"/>
        <v>=&gt; s</v>
      </c>
      <c r="CD55" s="52">
        <f t="shared" si="68"/>
        <v>24277</v>
      </c>
      <c r="CE55" s="35" t="str">
        <f t="shared" si="69"/>
        <v>S</v>
      </c>
      <c r="CF55" s="35">
        <v>2017</v>
      </c>
      <c r="CG55" s="379"/>
      <c r="CH55" s="35"/>
      <c r="CI55" s="135"/>
      <c r="CJ55" s="35" t="str">
        <f t="shared" si="70"/>
        <v>- - -</v>
      </c>
      <c r="CK55" s="55" t="str">
        <f t="shared" si="71"/>
        <v>- - -</v>
      </c>
      <c r="CL55" s="65"/>
      <c r="CM55" s="66"/>
      <c r="CN55" s="65"/>
      <c r="CO55" s="84"/>
      <c r="CP55" s="55" t="str">
        <f t="shared" si="72"/>
        <v>- - -</v>
      </c>
      <c r="CQ55" s="65"/>
      <c r="CR55" s="66"/>
      <c r="CS55" s="65"/>
      <c r="CT55" s="84"/>
      <c r="CU55" s="69" t="str">
        <f t="shared" si="73"/>
        <v>---</v>
      </c>
      <c r="CV55" s="70" t="str">
        <f t="shared" si="74"/>
        <v>/-/ /-/</v>
      </c>
      <c r="CW55" s="67">
        <f t="shared" si="75"/>
        <v>4</v>
      </c>
      <c r="CX55" s="68">
        <f t="shared" si="76"/>
        <v>2038</v>
      </c>
      <c r="CY55" s="67">
        <f t="shared" si="77"/>
        <v>1</v>
      </c>
      <c r="CZ55" s="68">
        <f t="shared" si="78"/>
        <v>2038</v>
      </c>
      <c r="DA55" s="67">
        <f t="shared" si="79"/>
        <v>10</v>
      </c>
      <c r="DB55" s="68">
        <f t="shared" si="80"/>
        <v>2037</v>
      </c>
      <c r="DC55" s="71" t="str">
        <f t="shared" si="81"/>
        <v>- - -</v>
      </c>
      <c r="DD55" s="72" t="str">
        <f t="shared" si="82"/>
        <v>. .</v>
      </c>
      <c r="DE55" s="72"/>
      <c r="DF55" s="52">
        <f t="shared" si="83"/>
        <v>660</v>
      </c>
      <c r="DG55" s="52">
        <f t="shared" si="84"/>
        <v>-23787</v>
      </c>
      <c r="DH55" s="52">
        <f t="shared" si="85"/>
        <v>-1983</v>
      </c>
      <c r="DI55" s="52" t="str">
        <f t="shared" si="86"/>
        <v>Nữ dưới 30</v>
      </c>
      <c r="DJ55" s="52"/>
      <c r="DK55" s="52"/>
      <c r="DL55" s="57" t="str">
        <f t="shared" si="87"/>
        <v>Đến 30</v>
      </c>
      <c r="DM55" s="65" t="str">
        <f t="shared" si="88"/>
        <v>TD</v>
      </c>
      <c r="DN55" s="36">
        <v>2012</v>
      </c>
      <c r="DO55" s="35"/>
      <c r="DP55" s="73"/>
      <c r="DQ55" s="36"/>
      <c r="DR55" s="84"/>
      <c r="DS55" s="85"/>
      <c r="DT55" s="86"/>
      <c r="DU55" s="76"/>
      <c r="DV55" s="91"/>
      <c r="DW55" s="92" t="s">
        <v>30</v>
      </c>
      <c r="DX55" s="391" t="s">
        <v>120</v>
      </c>
      <c r="DY55" s="37" t="s">
        <v>30</v>
      </c>
      <c r="DZ55" s="48" t="s">
        <v>342</v>
      </c>
      <c r="EA55" s="49" t="s">
        <v>360</v>
      </c>
      <c r="EB55" s="49" t="s">
        <v>372</v>
      </c>
      <c r="EC55" s="49" t="s">
        <v>360</v>
      </c>
      <c r="ED55" s="77">
        <v>2012</v>
      </c>
      <c r="EE55" s="49">
        <f>(DZ55+0)-(EG55+0)</f>
        <v>0</v>
      </c>
      <c r="EF55" s="78" t="str">
        <f>IF(EE55&gt;0,"Sửa","- - -")</f>
        <v>- - -</v>
      </c>
      <c r="EG55" s="48" t="s">
        <v>342</v>
      </c>
      <c r="EH55" s="49" t="s">
        <v>360</v>
      </c>
      <c r="EI55" s="49" t="s">
        <v>372</v>
      </c>
      <c r="EJ55" s="49" t="s">
        <v>360</v>
      </c>
      <c r="EK55" s="77">
        <v>2012</v>
      </c>
      <c r="EL55" s="35"/>
      <c r="EM55" s="55">
        <f t="shared" si="89"/>
        <v>3.74</v>
      </c>
      <c r="EN55" s="79" t="str">
        <f t="shared" si="90"/>
        <v>---</v>
      </c>
      <c r="EO55" s="91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/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1263"/>
      <c r="FO55" s="1263"/>
      <c r="FP55" s="1263"/>
      <c r="FQ55" s="1263"/>
      <c r="FR55" s="1263"/>
    </row>
    <row r="56" spans="1:174" s="136" customFormat="1" ht="11.25" customHeight="1" x14ac:dyDescent="0.2">
      <c r="A56" s="101">
        <v>157</v>
      </c>
      <c r="B56" s="371">
        <v>4</v>
      </c>
      <c r="C56" s="35"/>
      <c r="D56" s="35" t="str">
        <f t="shared" si="48"/>
        <v>Bà</v>
      </c>
      <c r="E56" s="40" t="s">
        <v>32</v>
      </c>
      <c r="F56" s="35" t="s">
        <v>381</v>
      </c>
      <c r="G56" s="64" t="s">
        <v>342</v>
      </c>
      <c r="H56" s="620" t="s">
        <v>360</v>
      </c>
      <c r="I56" s="64" t="s">
        <v>349</v>
      </c>
      <c r="J56" s="620" t="s">
        <v>360</v>
      </c>
      <c r="K56" s="40" t="s">
        <v>0</v>
      </c>
      <c r="L56" s="193" t="s">
        <v>452</v>
      </c>
      <c r="M56" s="652" t="str">
        <f t="shared" si="49"/>
        <v>VC</v>
      </c>
      <c r="N56" s="199"/>
      <c r="O56" s="621" t="e">
        <f t="shared" si="50"/>
        <v>#N/A</v>
      </c>
      <c r="P56" s="40"/>
      <c r="Q56" s="371" t="e">
        <f>VLOOKUP(P56,'Du lieu lien quan'!$C$2:$H$115,2,0)</f>
        <v>#N/A</v>
      </c>
      <c r="R56" s="40" t="s">
        <v>367</v>
      </c>
      <c r="S56" s="263" t="s">
        <v>555</v>
      </c>
      <c r="T56" s="38" t="str">
        <f>VLOOKUP(Y56,'Du lieu lien quan'!$C$2:$H$60,5,0)</f>
        <v>A2</v>
      </c>
      <c r="U56" s="39" t="str">
        <f>VLOOKUP(Y56,'Du lieu lien quan'!$C$2:$H$60,6,0)</f>
        <v>A2.1</v>
      </c>
      <c r="V56" s="663" t="s">
        <v>424</v>
      </c>
      <c r="W56" s="370" t="str">
        <f t="shared" si="51"/>
        <v>Giảng viên chính (hạng II)</v>
      </c>
      <c r="X56" s="373" t="str">
        <f t="shared" si="52"/>
        <v>V.07.01.02</v>
      </c>
      <c r="Y56" s="397" t="s">
        <v>431</v>
      </c>
      <c r="Z56" s="397" t="str">
        <f>VLOOKUP(Y56,'Du lieu lien quan'!$C$1:$H$133,2,0)</f>
        <v>V.07.01.02</v>
      </c>
      <c r="AA56" s="52" t="str">
        <f t="shared" si="53"/>
        <v>Lương</v>
      </c>
      <c r="AB56" s="148">
        <v>1</v>
      </c>
      <c r="AC56" s="495" t="s">
        <v>360</v>
      </c>
      <c r="AD56" s="43">
        <v>8</v>
      </c>
      <c r="AE56" s="44">
        <f t="shared" si="54"/>
        <v>4.4000000000000004</v>
      </c>
      <c r="AF56" s="409"/>
      <c r="AG56" s="109"/>
      <c r="AH56" s="485" t="s">
        <v>342</v>
      </c>
      <c r="AI56" s="493" t="s">
        <v>360</v>
      </c>
      <c r="AJ56" s="44" t="s">
        <v>373</v>
      </c>
      <c r="AK56" s="493" t="s">
        <v>360</v>
      </c>
      <c r="AL56" s="623">
        <v>2018</v>
      </c>
      <c r="AM56" s="162"/>
      <c r="AN56" s="53"/>
      <c r="AO56" s="324">
        <f t="shared" si="55"/>
        <v>2</v>
      </c>
      <c r="AP56" s="256" t="str">
        <f t="shared" si="56"/>
        <v>/</v>
      </c>
      <c r="AQ56" s="87">
        <f t="shared" si="57"/>
        <v>8</v>
      </c>
      <c r="AR56" s="47">
        <f t="shared" si="58"/>
        <v>4.74</v>
      </c>
      <c r="AS56" s="413"/>
      <c r="AT56" s="48" t="s">
        <v>342</v>
      </c>
      <c r="AU56" s="484" t="s">
        <v>360</v>
      </c>
      <c r="AV56" s="82" t="s">
        <v>373</v>
      </c>
      <c r="AW56" s="484" t="s">
        <v>360</v>
      </c>
      <c r="AX56" s="40">
        <v>2021</v>
      </c>
      <c r="AY56" s="91"/>
      <c r="AZ56" s="266" t="s">
        <v>639</v>
      </c>
      <c r="BA56" s="480"/>
      <c r="BB56" s="51">
        <f t="shared" si="59"/>
        <v>3</v>
      </c>
      <c r="BC56" s="328">
        <f t="shared" si="60"/>
        <v>-24263</v>
      </c>
      <c r="BD56" s="280">
        <f>VLOOKUP(Y56,'Du lieu lien quan'!$C$1:$F$60,3,0)</f>
        <v>4.4000000000000004</v>
      </c>
      <c r="BE56" s="280">
        <f>VLOOKUP(Y56,'Du lieu lien quan'!$C$1:$F$60,4,0)</f>
        <v>0.34</v>
      </c>
      <c r="BF56" s="57" t="str">
        <f t="shared" si="61"/>
        <v>PCTN</v>
      </c>
      <c r="BG56" s="58">
        <v>21</v>
      </c>
      <c r="BH56" s="424" t="s">
        <v>333</v>
      </c>
      <c r="BI56" s="60" t="s">
        <v>342</v>
      </c>
      <c r="BJ56" s="489" t="s">
        <v>360</v>
      </c>
      <c r="BK56" s="422">
        <v>10</v>
      </c>
      <c r="BL56" s="489" t="s">
        <v>360</v>
      </c>
      <c r="BM56" s="40">
        <v>2021</v>
      </c>
      <c r="BN56" s="162"/>
      <c r="BO56" s="62"/>
      <c r="BP56" s="59">
        <f t="shared" si="62"/>
        <v>22</v>
      </c>
      <c r="BQ56" s="429" t="s">
        <v>333</v>
      </c>
      <c r="BR56" s="60" t="s">
        <v>342</v>
      </c>
      <c r="BS56" s="484" t="s">
        <v>360</v>
      </c>
      <c r="BT56" s="420">
        <v>10</v>
      </c>
      <c r="BU56" s="484" t="s">
        <v>360</v>
      </c>
      <c r="BV56" s="40">
        <v>2022</v>
      </c>
      <c r="BW56" s="61"/>
      <c r="BX56" s="161"/>
      <c r="BY56" s="329">
        <f t="shared" si="63"/>
        <v>-24274</v>
      </c>
      <c r="BZ56" s="57" t="str">
        <f t="shared" si="64"/>
        <v>- - -</v>
      </c>
      <c r="CA56" s="392" t="str">
        <f t="shared" si="65"/>
        <v>Chánh Văn phòng Học viện, Trưởng Ban Tổ chức - Cán bộ, Trưởng Khoa Khoa học hành chính và Tổ chức nhân sự</v>
      </c>
      <c r="CB56" s="63" t="str">
        <f t="shared" si="66"/>
        <v>A</v>
      </c>
      <c r="CC56" s="41" t="str">
        <f t="shared" si="67"/>
        <v>=&gt; s</v>
      </c>
      <c r="CD56" s="52">
        <f t="shared" si="68"/>
        <v>24287</v>
      </c>
      <c r="CE56" s="35" t="str">
        <f t="shared" si="69"/>
        <v>---</v>
      </c>
      <c r="CF56" s="35"/>
      <c r="CG56" s="379"/>
      <c r="CH56" s="35"/>
      <c r="CI56" s="135"/>
      <c r="CJ56" s="35" t="str">
        <f t="shared" si="70"/>
        <v>- - -</v>
      </c>
      <c r="CK56" s="55" t="str">
        <f t="shared" si="71"/>
        <v>- - -</v>
      </c>
      <c r="CL56" s="65"/>
      <c r="CM56" s="66"/>
      <c r="CN56" s="65"/>
      <c r="CO56" s="84"/>
      <c r="CP56" s="55" t="str">
        <f t="shared" si="72"/>
        <v>- - -</v>
      </c>
      <c r="CQ56" s="65"/>
      <c r="CR56" s="66"/>
      <c r="CS56" s="65"/>
      <c r="CT56" s="84"/>
      <c r="CU56" s="69" t="str">
        <f t="shared" si="73"/>
        <v>---</v>
      </c>
      <c r="CV56" s="70" t="str">
        <f t="shared" si="74"/>
        <v>/-/ /-/</v>
      </c>
      <c r="CW56" s="67">
        <f t="shared" si="75"/>
        <v>10</v>
      </c>
      <c r="CX56" s="68">
        <f t="shared" si="76"/>
        <v>2031</v>
      </c>
      <c r="CY56" s="67">
        <f t="shared" si="77"/>
        <v>7</v>
      </c>
      <c r="CZ56" s="68">
        <f t="shared" si="78"/>
        <v>2031</v>
      </c>
      <c r="DA56" s="67">
        <f t="shared" si="79"/>
        <v>4</v>
      </c>
      <c r="DB56" s="68">
        <f t="shared" si="80"/>
        <v>2031</v>
      </c>
      <c r="DC56" s="71" t="str">
        <f t="shared" si="81"/>
        <v>- - -</v>
      </c>
      <c r="DD56" s="72" t="str">
        <f t="shared" si="82"/>
        <v>. .</v>
      </c>
      <c r="DE56" s="72"/>
      <c r="DF56" s="52">
        <f t="shared" si="83"/>
        <v>660</v>
      </c>
      <c r="DG56" s="52">
        <f t="shared" si="84"/>
        <v>-23709</v>
      </c>
      <c r="DH56" s="52">
        <f t="shared" si="85"/>
        <v>-1976</v>
      </c>
      <c r="DI56" s="52" t="str">
        <f t="shared" si="86"/>
        <v>Nữ dưới 30</v>
      </c>
      <c r="DJ56" s="52"/>
      <c r="DK56" s="52"/>
      <c r="DL56" s="57" t="str">
        <f t="shared" si="87"/>
        <v>Đến 30</v>
      </c>
      <c r="DM56" s="65" t="str">
        <f t="shared" si="88"/>
        <v>--</v>
      </c>
      <c r="DN56" s="36"/>
      <c r="DO56" s="35"/>
      <c r="DP56" s="73"/>
      <c r="DQ56" s="36"/>
      <c r="DR56" s="84"/>
      <c r="DS56" s="85"/>
      <c r="DT56" s="86"/>
      <c r="DU56" s="76"/>
      <c r="DV56" s="91"/>
      <c r="DW56" s="37" t="s">
        <v>367</v>
      </c>
      <c r="DX56" s="391" t="s">
        <v>120</v>
      </c>
      <c r="DY56" s="37" t="s">
        <v>367</v>
      </c>
      <c r="DZ56" s="48" t="s">
        <v>342</v>
      </c>
      <c r="EA56" s="49" t="s">
        <v>360</v>
      </c>
      <c r="EB56" s="49" t="s">
        <v>373</v>
      </c>
      <c r="EC56" s="49" t="s">
        <v>360</v>
      </c>
      <c r="ED56" s="77">
        <v>2012</v>
      </c>
      <c r="EE56" s="49">
        <f>(DZ56+0)-(EG56+0)</f>
        <v>0</v>
      </c>
      <c r="EF56" s="78" t="str">
        <f>IF(EE56&gt;0,"Sửa","- - -")</f>
        <v>- - -</v>
      </c>
      <c r="EG56" s="48" t="s">
        <v>342</v>
      </c>
      <c r="EH56" s="49" t="s">
        <v>360</v>
      </c>
      <c r="EI56" s="49" t="s">
        <v>373</v>
      </c>
      <c r="EJ56" s="49" t="s">
        <v>360</v>
      </c>
      <c r="EK56" s="77">
        <v>2012</v>
      </c>
      <c r="EL56" s="35"/>
      <c r="EM56" s="55" t="str">
        <f t="shared" si="89"/>
        <v>- - -</v>
      </c>
      <c r="EN56" s="79" t="str">
        <f t="shared" si="90"/>
        <v>---</v>
      </c>
      <c r="EO56" s="91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/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97"/>
      <c r="FO56" s="97"/>
      <c r="FP56" s="97"/>
      <c r="FQ56" s="97"/>
      <c r="FR56" s="97"/>
    </row>
    <row r="57" spans="1:174" s="80" customFormat="1" ht="11.25" customHeight="1" x14ac:dyDescent="0.2">
      <c r="A57" s="101">
        <v>191</v>
      </c>
      <c r="B57" s="517">
        <v>5</v>
      </c>
      <c r="C57" s="272" t="s">
        <v>388</v>
      </c>
      <c r="D57" s="272" t="str">
        <f t="shared" si="48"/>
        <v>Bà</v>
      </c>
      <c r="E57" s="320" t="s">
        <v>473</v>
      </c>
      <c r="F57" s="272" t="s">
        <v>381</v>
      </c>
      <c r="G57" s="637" t="s">
        <v>281</v>
      </c>
      <c r="H57" s="638" t="s">
        <v>360</v>
      </c>
      <c r="I57" s="637" t="s">
        <v>345</v>
      </c>
      <c r="J57" s="638" t="s">
        <v>360</v>
      </c>
      <c r="K57" s="273">
        <v>1965</v>
      </c>
      <c r="L57" s="284" t="s">
        <v>452</v>
      </c>
      <c r="M57" s="277" t="str">
        <f t="shared" si="49"/>
        <v>VC</v>
      </c>
      <c r="N57" s="501"/>
      <c r="O57" s="639" t="str">
        <f t="shared" si="50"/>
        <v>CVụ</v>
      </c>
      <c r="P57" s="273" t="s">
        <v>465</v>
      </c>
      <c r="Q57" s="399">
        <f>VLOOKUP(P57,'Du lieu lien quan'!$C$2:$H$115,2,0)</f>
        <v>0.6</v>
      </c>
      <c r="R57" s="313" t="s">
        <v>141</v>
      </c>
      <c r="S57" s="273" t="s">
        <v>553</v>
      </c>
      <c r="T57" s="275" t="str">
        <f>VLOOKUP(Y57,'Du lieu lien quan'!$C$2:$H$60,5,0)</f>
        <v>A2</v>
      </c>
      <c r="U57" s="276" t="str">
        <f>VLOOKUP(Y57,'Du lieu lien quan'!$C$2:$H$60,6,0)</f>
        <v>A2.1</v>
      </c>
      <c r="V57" s="300" t="s">
        <v>595</v>
      </c>
      <c r="W57" s="401" t="str">
        <f t="shared" si="51"/>
        <v>Giảng viên chính (hạng II)</v>
      </c>
      <c r="X57" s="300" t="str">
        <f t="shared" si="52"/>
        <v>V.07.01.02</v>
      </c>
      <c r="Y57" s="300" t="s">
        <v>431</v>
      </c>
      <c r="Z57" s="300" t="str">
        <f>VLOOKUP(Y57,'Du lieu lien quan'!$C$1:$H$133,2,0)</f>
        <v>V.07.01.02</v>
      </c>
      <c r="AA57" s="277" t="str">
        <f t="shared" si="53"/>
        <v>Lương</v>
      </c>
      <c r="AB57" s="2278">
        <v>6</v>
      </c>
      <c r="AC57" s="495" t="str">
        <f t="shared" ref="AC57:AC64" si="91">IF(AD57&gt;0,"/")</f>
        <v>/</v>
      </c>
      <c r="AD57" s="208">
        <f t="shared" ref="AD57:AD64" si="92">IF(OR(BE57=0.18,BE57=0.2),12,IF(BE57=0.31,10,IF(BE57=0.33,9,IF(BE57=0.34,8,IF(BE57=0.36,6)))))</f>
        <v>8</v>
      </c>
      <c r="AE57" s="44">
        <f t="shared" si="54"/>
        <v>6.1000000000000005</v>
      </c>
      <c r="AF57" s="467"/>
      <c r="AG57" s="282"/>
      <c r="AH57" s="502" t="s">
        <v>342</v>
      </c>
      <c r="AI57" s="493" t="s">
        <v>360</v>
      </c>
      <c r="AJ57" s="280" t="s">
        <v>342</v>
      </c>
      <c r="AK57" s="493" t="s">
        <v>360</v>
      </c>
      <c r="AL57" s="2183">
        <v>2017</v>
      </c>
      <c r="AM57" s="291"/>
      <c r="AN57" s="292"/>
      <c r="AO57" s="525">
        <f t="shared" si="55"/>
        <v>7</v>
      </c>
      <c r="AP57" s="877" t="str">
        <f t="shared" si="56"/>
        <v>/</v>
      </c>
      <c r="AQ57" s="283">
        <f t="shared" si="57"/>
        <v>8</v>
      </c>
      <c r="AR57" s="284">
        <f t="shared" si="58"/>
        <v>6.44</v>
      </c>
      <c r="AS57" s="414"/>
      <c r="AT57" s="285" t="s">
        <v>342</v>
      </c>
      <c r="AU57" s="488" t="s">
        <v>360</v>
      </c>
      <c r="AV57" s="2263" t="s">
        <v>342</v>
      </c>
      <c r="AW57" s="488" t="s">
        <v>360</v>
      </c>
      <c r="AX57" s="40">
        <v>2020</v>
      </c>
      <c r="AY57" s="318"/>
      <c r="AZ57" s="474"/>
      <c r="BA57" s="481"/>
      <c r="BB57" s="290">
        <f t="shared" si="59"/>
        <v>3</v>
      </c>
      <c r="BC57" s="403">
        <f t="shared" si="60"/>
        <v>-24241</v>
      </c>
      <c r="BD57" s="280">
        <f>VLOOKUP(Y57,'Du lieu lien quan'!$C$1:$F$60,3,0)</f>
        <v>4.4000000000000004</v>
      </c>
      <c r="BE57" s="280">
        <f>VLOOKUP(Y57,'Du lieu lien quan'!$C$1:$F$60,4,0)</f>
        <v>0.34</v>
      </c>
      <c r="BF57" s="293" t="str">
        <f t="shared" si="61"/>
        <v>PCTN</v>
      </c>
      <c r="BG57" s="294">
        <v>30</v>
      </c>
      <c r="BH57" s="425" t="s">
        <v>333</v>
      </c>
      <c r="BI57" s="504" t="s">
        <v>342</v>
      </c>
      <c r="BJ57" s="488" t="s">
        <v>360</v>
      </c>
      <c r="BK57" s="421" t="s">
        <v>372</v>
      </c>
      <c r="BL57" s="488" t="s">
        <v>360</v>
      </c>
      <c r="BM57" s="40">
        <v>2021</v>
      </c>
      <c r="BN57" s="291"/>
      <c r="BO57" s="297"/>
      <c r="BP57" s="295">
        <f t="shared" si="62"/>
        <v>31</v>
      </c>
      <c r="BQ57" s="505" t="s">
        <v>333</v>
      </c>
      <c r="BR57" s="504" t="s">
        <v>342</v>
      </c>
      <c r="BS57" s="484" t="s">
        <v>360</v>
      </c>
      <c r="BT57" s="421" t="s">
        <v>372</v>
      </c>
      <c r="BU57" s="484" t="s">
        <v>360</v>
      </c>
      <c r="BV57" s="40">
        <v>2022</v>
      </c>
      <c r="BW57" s="296"/>
      <c r="BX57" s="161"/>
      <c r="BY57" s="404">
        <f t="shared" si="63"/>
        <v>-24274</v>
      </c>
      <c r="BZ57" s="293" t="str">
        <f t="shared" si="64"/>
        <v>- - -</v>
      </c>
      <c r="CA57" s="273" t="str">
        <f t="shared" si="65"/>
        <v>Chánh Văn phòng Học viện, Trưởng Ban Tổ chức - Cán bộ, Trưởng Khoa Nhà nước - Pháp luật và Lý luận cơ sở</v>
      </c>
      <c r="CB57" s="298" t="str">
        <f t="shared" si="66"/>
        <v>A</v>
      </c>
      <c r="CC57" s="299" t="str">
        <f t="shared" si="67"/>
        <v>=&gt; s</v>
      </c>
      <c r="CD57" s="277">
        <f t="shared" si="68"/>
        <v>24265</v>
      </c>
      <c r="CE57" s="272" t="str">
        <f t="shared" si="69"/>
        <v>---</v>
      </c>
      <c r="CF57" s="272"/>
      <c r="CG57" s="388"/>
      <c r="CH57" s="272"/>
      <c r="CI57" s="405"/>
      <c r="CJ57" s="272" t="str">
        <f t="shared" si="70"/>
        <v>- - -</v>
      </c>
      <c r="CK57" s="301" t="str">
        <f t="shared" si="71"/>
        <v>- - -</v>
      </c>
      <c r="CL57" s="302"/>
      <c r="CM57" s="303"/>
      <c r="CN57" s="302"/>
      <c r="CO57" s="304"/>
      <c r="CP57" s="301" t="str">
        <f t="shared" si="72"/>
        <v>- - -</v>
      </c>
      <c r="CQ57" s="302"/>
      <c r="CR57" s="303"/>
      <c r="CS57" s="302"/>
      <c r="CT57" s="304"/>
      <c r="CU57" s="305" t="str">
        <f t="shared" si="73"/>
        <v>---</v>
      </c>
      <c r="CV57" s="306" t="str">
        <f t="shared" si="74"/>
        <v>/-/ /-/</v>
      </c>
      <c r="CW57" s="307">
        <f t="shared" si="75"/>
        <v>7</v>
      </c>
      <c r="CX57" s="308">
        <f t="shared" si="76"/>
        <v>2020</v>
      </c>
      <c r="CY57" s="307">
        <f t="shared" si="77"/>
        <v>4</v>
      </c>
      <c r="CZ57" s="308">
        <f t="shared" si="78"/>
        <v>2020</v>
      </c>
      <c r="DA57" s="307">
        <f t="shared" si="79"/>
        <v>1</v>
      </c>
      <c r="DB57" s="308">
        <f t="shared" si="80"/>
        <v>2020</v>
      </c>
      <c r="DC57" s="309" t="str">
        <f t="shared" si="81"/>
        <v>- - -</v>
      </c>
      <c r="DD57" s="310" t="str">
        <f t="shared" si="82"/>
        <v>. .</v>
      </c>
      <c r="DE57" s="310"/>
      <c r="DF57" s="277">
        <f t="shared" si="83"/>
        <v>660</v>
      </c>
      <c r="DG57" s="277">
        <f t="shared" si="84"/>
        <v>-23574</v>
      </c>
      <c r="DH57" s="277">
        <f t="shared" si="85"/>
        <v>-1965</v>
      </c>
      <c r="DI57" s="277" t="str">
        <f t="shared" si="86"/>
        <v>Nữ dưới 30</v>
      </c>
      <c r="DJ57" s="277"/>
      <c r="DK57" s="277"/>
      <c r="DL57" s="293" t="str">
        <f t="shared" si="87"/>
        <v>Đến 30</v>
      </c>
      <c r="DM57" s="302" t="str">
        <f t="shared" si="88"/>
        <v>--</v>
      </c>
      <c r="DN57" s="274"/>
      <c r="DO57" s="272"/>
      <c r="DP57" s="311"/>
      <c r="DQ57" s="274"/>
      <c r="DR57" s="304"/>
      <c r="DS57" s="312"/>
      <c r="DT57" s="313"/>
      <c r="DU57" s="314"/>
      <c r="DV57" s="318"/>
      <c r="DW57" s="321" t="s">
        <v>140</v>
      </c>
      <c r="DX57" s="400" t="s">
        <v>121</v>
      </c>
      <c r="DY57" s="321"/>
      <c r="DZ57" s="285"/>
      <c r="EA57" s="287"/>
      <c r="EB57" s="287"/>
      <c r="EC57" s="287"/>
      <c r="ED57" s="315"/>
      <c r="EE57" s="287"/>
      <c r="EF57" s="316"/>
      <c r="EG57" s="285"/>
      <c r="EH57" s="287"/>
      <c r="EI57" s="287"/>
      <c r="EJ57" s="287"/>
      <c r="EK57" s="315"/>
      <c r="EL57" s="272"/>
      <c r="EM57" s="301" t="str">
        <f t="shared" si="89"/>
        <v>- - -</v>
      </c>
      <c r="EN57" s="317" t="str">
        <f t="shared" si="90"/>
        <v>---</v>
      </c>
      <c r="EO57" s="318"/>
      <c r="EP57" s="319"/>
      <c r="EQ57" s="319"/>
      <c r="ER57" s="319"/>
      <c r="ES57" s="319"/>
      <c r="ET57" s="319"/>
      <c r="EU57" s="319"/>
      <c r="EV57" s="319"/>
      <c r="EW57" s="319"/>
      <c r="EX57" s="319"/>
      <c r="EY57" s="319"/>
      <c r="EZ57" s="319"/>
      <c r="FA57" s="319"/>
      <c r="FB57" s="319"/>
      <c r="FC57" s="319"/>
      <c r="FD57" s="319"/>
      <c r="FE57" s="319"/>
      <c r="FF57" s="319"/>
      <c r="FG57" s="319"/>
      <c r="FH57" s="319"/>
      <c r="FI57" s="319"/>
      <c r="FJ57" s="319"/>
      <c r="FK57" s="319"/>
      <c r="FL57" s="319"/>
      <c r="FM57" s="319"/>
      <c r="FN57" s="319"/>
      <c r="FO57" s="319"/>
      <c r="FP57" s="319"/>
      <c r="FQ57" s="319"/>
      <c r="FR57" s="319"/>
    </row>
    <row r="58" spans="1:174" s="80" customFormat="1" ht="11.25" customHeight="1" x14ac:dyDescent="0.2">
      <c r="A58" s="101">
        <v>221</v>
      </c>
      <c r="B58" s="371">
        <v>6</v>
      </c>
      <c r="C58" s="35"/>
      <c r="D58" s="35" t="str">
        <f t="shared" si="48"/>
        <v>Bà</v>
      </c>
      <c r="E58" s="40" t="s">
        <v>38</v>
      </c>
      <c r="F58" s="35" t="s">
        <v>381</v>
      </c>
      <c r="G58" s="64" t="s">
        <v>374</v>
      </c>
      <c r="H58" s="620" t="s">
        <v>360</v>
      </c>
      <c r="I58" s="64">
        <v>4</v>
      </c>
      <c r="J58" s="620" t="s">
        <v>360</v>
      </c>
      <c r="K58" s="40">
        <v>1972</v>
      </c>
      <c r="L58" s="193" t="s">
        <v>452</v>
      </c>
      <c r="M58" s="652" t="str">
        <f t="shared" si="49"/>
        <v>VC</v>
      </c>
      <c r="N58" s="199"/>
      <c r="O58" s="621" t="e">
        <f t="shared" si="50"/>
        <v>#N/A</v>
      </c>
      <c r="P58" s="40"/>
      <c r="Q58" s="371" t="e">
        <f>VLOOKUP(P58,'Du lieu lien quan'!$C$2:$H$115,2,0)</f>
        <v>#N/A</v>
      </c>
      <c r="R58" s="40" t="s">
        <v>35</v>
      </c>
      <c r="S58" s="40" t="s">
        <v>553</v>
      </c>
      <c r="T58" s="38" t="str">
        <f>VLOOKUP(Y58,'Du lieu lien quan'!$C$2:$H$60,5,0)</f>
        <v>A1</v>
      </c>
      <c r="U58" s="39" t="str">
        <f>VLOOKUP(Y58,'Du lieu lien quan'!$C$2:$H$60,6,0)</f>
        <v>- - -</v>
      </c>
      <c r="V58" s="663" t="s">
        <v>424</v>
      </c>
      <c r="W58" s="370" t="str">
        <f t="shared" si="51"/>
        <v>Giảng viên (hạng III)</v>
      </c>
      <c r="X58" s="373" t="str">
        <f t="shared" si="52"/>
        <v>V.07.01.03</v>
      </c>
      <c r="Y58" s="397" t="s">
        <v>430</v>
      </c>
      <c r="Z58" s="397" t="str">
        <f>VLOOKUP(Y58,'Du lieu lien quan'!$C$1:$H$133,2,0)</f>
        <v>V.07.01.03</v>
      </c>
      <c r="AA58" s="52" t="str">
        <f t="shared" si="53"/>
        <v>Lương</v>
      </c>
      <c r="AB58" s="647">
        <v>5</v>
      </c>
      <c r="AC58" s="495" t="str">
        <f t="shared" si="91"/>
        <v>/</v>
      </c>
      <c r="AD58" s="43">
        <f t="shared" si="92"/>
        <v>9</v>
      </c>
      <c r="AE58" s="44">
        <f t="shared" si="54"/>
        <v>3.66</v>
      </c>
      <c r="AF58" s="409"/>
      <c r="AG58" s="409"/>
      <c r="AH58" s="700" t="s">
        <v>342</v>
      </c>
      <c r="AI58" s="699" t="s">
        <v>360</v>
      </c>
      <c r="AJ58" s="115">
        <v>12</v>
      </c>
      <c r="AK58" s="699" t="s">
        <v>360</v>
      </c>
      <c r="AL58" s="623">
        <v>2016</v>
      </c>
      <c r="AM58" s="162"/>
      <c r="AN58" s="53"/>
      <c r="AO58" s="324">
        <f t="shared" si="55"/>
        <v>6</v>
      </c>
      <c r="AP58" s="256" t="str">
        <f t="shared" si="56"/>
        <v>/</v>
      </c>
      <c r="AQ58" s="87">
        <f t="shared" si="57"/>
        <v>9</v>
      </c>
      <c r="AR58" s="47">
        <f t="shared" si="58"/>
        <v>3.99</v>
      </c>
      <c r="AS58" s="413"/>
      <c r="AT58" s="48" t="s">
        <v>342</v>
      </c>
      <c r="AU58" s="484" t="s">
        <v>360</v>
      </c>
      <c r="AV58" s="82">
        <v>12</v>
      </c>
      <c r="AW58" s="484" t="s">
        <v>360</v>
      </c>
      <c r="AX58" s="520">
        <v>2019</v>
      </c>
      <c r="AY58" s="91"/>
      <c r="AZ58" s="266"/>
      <c r="BA58" s="480"/>
      <c r="BB58" s="51">
        <f t="shared" si="59"/>
        <v>3</v>
      </c>
      <c r="BC58" s="328">
        <f t="shared" si="60"/>
        <v>-24240</v>
      </c>
      <c r="BD58" s="280">
        <f>VLOOKUP(Y58,'Du lieu lien quan'!$C$1:$F$60,3,0)</f>
        <v>2.34</v>
      </c>
      <c r="BE58" s="280">
        <f>VLOOKUP(Y58,'Du lieu lien quan'!$C$1:$F$60,4,0)</f>
        <v>0.33</v>
      </c>
      <c r="BF58" s="57" t="str">
        <f t="shared" si="61"/>
        <v>PCTN</v>
      </c>
      <c r="BG58" s="58">
        <v>15</v>
      </c>
      <c r="BH58" s="424" t="s">
        <v>333</v>
      </c>
      <c r="BI58" s="60" t="s">
        <v>342</v>
      </c>
      <c r="BJ58" s="489" t="s">
        <v>360</v>
      </c>
      <c r="BK58" s="422">
        <v>10</v>
      </c>
      <c r="BL58" s="489" t="s">
        <v>360</v>
      </c>
      <c r="BM58" s="40">
        <v>2021</v>
      </c>
      <c r="BN58" s="162"/>
      <c r="BO58" s="62"/>
      <c r="BP58" s="59">
        <f t="shared" si="62"/>
        <v>16</v>
      </c>
      <c r="BQ58" s="429" t="s">
        <v>333</v>
      </c>
      <c r="BR58" s="60" t="s">
        <v>342</v>
      </c>
      <c r="BS58" s="484" t="s">
        <v>360</v>
      </c>
      <c r="BT58" s="420">
        <v>10</v>
      </c>
      <c r="BU58" s="484" t="s">
        <v>360</v>
      </c>
      <c r="BV58" s="40">
        <v>2022</v>
      </c>
      <c r="BW58" s="61"/>
      <c r="BX58" s="161"/>
      <c r="BY58" s="329">
        <f t="shared" si="63"/>
        <v>-24274</v>
      </c>
      <c r="BZ58" s="57" t="str">
        <f t="shared" si="64"/>
        <v>- - -</v>
      </c>
      <c r="CA58" s="392" t="str">
        <f t="shared" si="65"/>
        <v>Chánh Văn phòng Học viện, Trưởng Ban Tổ chức - Cán bộ, Trưởng Khoa Nhà nước - Pháp luật và Lý luận cơ sở</v>
      </c>
      <c r="CB58" s="63" t="str">
        <f t="shared" si="66"/>
        <v>A</v>
      </c>
      <c r="CC58" s="41" t="str">
        <f t="shared" si="67"/>
        <v>=&gt; s</v>
      </c>
      <c r="CD58" s="52">
        <f t="shared" si="68"/>
        <v>24264</v>
      </c>
      <c r="CE58" s="35" t="str">
        <f t="shared" si="69"/>
        <v>S</v>
      </c>
      <c r="CF58" s="35">
        <v>2013</v>
      </c>
      <c r="CG58" s="379" t="s">
        <v>426</v>
      </c>
      <c r="CH58" s="35"/>
      <c r="CI58" s="135"/>
      <c r="CJ58" s="35" t="str">
        <f t="shared" si="70"/>
        <v>Cùg Ng</v>
      </c>
      <c r="CK58" s="55" t="str">
        <f t="shared" si="71"/>
        <v>- - -</v>
      </c>
      <c r="CL58" s="65"/>
      <c r="CM58" s="66"/>
      <c r="CN58" s="65"/>
      <c r="CO58" s="84"/>
      <c r="CP58" s="55" t="str">
        <f t="shared" si="72"/>
        <v>- - -</v>
      </c>
      <c r="CQ58" s="65"/>
      <c r="CR58" s="66"/>
      <c r="CS58" s="65"/>
      <c r="CT58" s="84"/>
      <c r="CU58" s="69" t="str">
        <f t="shared" si="73"/>
        <v>---</v>
      </c>
      <c r="CV58" s="70" t="str">
        <f t="shared" si="74"/>
        <v>/-/ /-/</v>
      </c>
      <c r="CW58" s="67">
        <f t="shared" si="75"/>
        <v>5</v>
      </c>
      <c r="CX58" s="68">
        <f t="shared" si="76"/>
        <v>2027</v>
      </c>
      <c r="CY58" s="67">
        <f t="shared" si="77"/>
        <v>2</v>
      </c>
      <c r="CZ58" s="68">
        <f t="shared" si="78"/>
        <v>2027</v>
      </c>
      <c r="DA58" s="67">
        <f t="shared" si="79"/>
        <v>11</v>
      </c>
      <c r="DB58" s="68">
        <f t="shared" si="80"/>
        <v>2026</v>
      </c>
      <c r="DC58" s="71" t="str">
        <f t="shared" si="81"/>
        <v>- - -</v>
      </c>
      <c r="DD58" s="72" t="str">
        <f t="shared" si="82"/>
        <v>. .</v>
      </c>
      <c r="DE58" s="72"/>
      <c r="DF58" s="52">
        <f t="shared" si="83"/>
        <v>660</v>
      </c>
      <c r="DG58" s="52">
        <f t="shared" si="84"/>
        <v>-23656</v>
      </c>
      <c r="DH58" s="52">
        <f t="shared" si="85"/>
        <v>-1972</v>
      </c>
      <c r="DI58" s="52" t="str">
        <f t="shared" si="86"/>
        <v>Nữ dưới 30</v>
      </c>
      <c r="DJ58" s="93"/>
      <c r="DK58" s="52"/>
      <c r="DL58" s="57" t="str">
        <f t="shared" si="87"/>
        <v>Đến 30</v>
      </c>
      <c r="DM58" s="65" t="str">
        <f t="shared" si="88"/>
        <v>TD</v>
      </c>
      <c r="DN58" s="36">
        <v>2008</v>
      </c>
      <c r="DO58" s="35"/>
      <c r="DP58" s="73"/>
      <c r="DQ58" s="36"/>
      <c r="DR58" s="84"/>
      <c r="DS58" s="85"/>
      <c r="DT58" s="86"/>
      <c r="DU58" s="76"/>
      <c r="DV58" s="91"/>
      <c r="DW58" s="37" t="s">
        <v>35</v>
      </c>
      <c r="DX58" s="391" t="s">
        <v>138</v>
      </c>
      <c r="DY58" s="37" t="s">
        <v>35</v>
      </c>
      <c r="DZ58" s="48" t="s">
        <v>342</v>
      </c>
      <c r="EA58" s="49" t="s">
        <v>360</v>
      </c>
      <c r="EB58" s="49">
        <v>12</v>
      </c>
      <c r="EC58" s="49" t="s">
        <v>360</v>
      </c>
      <c r="ED58" s="77">
        <v>2013</v>
      </c>
      <c r="EE58" s="49">
        <f t="shared" ref="EE58:EE63" si="93">(DZ58+0)-(EG58+0)</f>
        <v>0</v>
      </c>
      <c r="EF58" s="78" t="str">
        <f t="shared" ref="EF58:EF63" si="94">IF(EE58&gt;0,"Sửa","- - -")</f>
        <v>- - -</v>
      </c>
      <c r="EG58" s="48" t="s">
        <v>342</v>
      </c>
      <c r="EH58" s="49" t="s">
        <v>360</v>
      </c>
      <c r="EI58" s="49">
        <v>12</v>
      </c>
      <c r="EJ58" s="49" t="s">
        <v>360</v>
      </c>
      <c r="EK58" s="77">
        <v>2013</v>
      </c>
      <c r="EL58" s="35"/>
      <c r="EM58" s="55" t="str">
        <f t="shared" si="89"/>
        <v>- - -</v>
      </c>
      <c r="EN58" s="79" t="str">
        <f t="shared" si="90"/>
        <v>---</v>
      </c>
      <c r="EO58" s="91"/>
    </row>
    <row r="59" spans="1:174" s="250" customFormat="1" ht="11.25" customHeight="1" x14ac:dyDescent="0.2">
      <c r="A59" s="101">
        <v>237</v>
      </c>
      <c r="B59" s="517">
        <v>7</v>
      </c>
      <c r="C59" s="35"/>
      <c r="D59" s="35" t="str">
        <f t="shared" si="48"/>
        <v>Ông</v>
      </c>
      <c r="E59" s="40" t="s">
        <v>52</v>
      </c>
      <c r="F59" s="35" t="s">
        <v>379</v>
      </c>
      <c r="G59" s="64" t="s">
        <v>278</v>
      </c>
      <c r="H59" s="620" t="s">
        <v>360</v>
      </c>
      <c r="I59" s="64" t="s">
        <v>342</v>
      </c>
      <c r="J59" s="620" t="s">
        <v>360</v>
      </c>
      <c r="K59" s="40" t="s">
        <v>314</v>
      </c>
      <c r="L59" s="193" t="s">
        <v>452</v>
      </c>
      <c r="M59" s="652" t="str">
        <f t="shared" si="49"/>
        <v>VC</v>
      </c>
      <c r="N59" s="199"/>
      <c r="O59" s="621" t="str">
        <f t="shared" si="50"/>
        <v>CVụ</v>
      </c>
      <c r="P59" s="40" t="s">
        <v>243</v>
      </c>
      <c r="Q59" s="371">
        <f>VLOOKUP(P59,'Du lieu lien quan'!$C$2:$H$115,2,0)</f>
        <v>1</v>
      </c>
      <c r="R59" s="40"/>
      <c r="S59" s="40" t="s">
        <v>556</v>
      </c>
      <c r="T59" s="38" t="str">
        <f>VLOOKUP(Y59,'Du lieu lien quan'!$C$2:$H$60,5,0)</f>
        <v>A3</v>
      </c>
      <c r="U59" s="39" t="str">
        <f>VLOOKUP(Y59,'Du lieu lien quan'!$C$2:$H$60,6,0)</f>
        <v>A3.1</v>
      </c>
      <c r="V59" s="663" t="s">
        <v>424</v>
      </c>
      <c r="W59" s="370" t="str">
        <f t="shared" si="51"/>
        <v>Giảng viên cao cấp (hạng I)</v>
      </c>
      <c r="X59" s="373" t="str">
        <f t="shared" si="52"/>
        <v>V.07.01.01</v>
      </c>
      <c r="Y59" s="397" t="s">
        <v>429</v>
      </c>
      <c r="Z59" s="397" t="str">
        <f>VLOOKUP(Y59,'Du lieu lien quan'!$C$1:$H$133,2,0)</f>
        <v>V.07.01.01</v>
      </c>
      <c r="AA59" s="52" t="str">
        <f t="shared" si="53"/>
        <v>Lương</v>
      </c>
      <c r="AB59" s="175">
        <v>3</v>
      </c>
      <c r="AC59" s="495" t="str">
        <f t="shared" si="91"/>
        <v>/</v>
      </c>
      <c r="AD59" s="208">
        <f t="shared" si="92"/>
        <v>6</v>
      </c>
      <c r="AE59" s="44">
        <f t="shared" si="54"/>
        <v>6.92</v>
      </c>
      <c r="AF59" s="409"/>
      <c r="AG59" s="109"/>
      <c r="AH59" s="48" t="s">
        <v>342</v>
      </c>
      <c r="AI59" s="484" t="s">
        <v>360</v>
      </c>
      <c r="AJ59" s="82" t="s">
        <v>346</v>
      </c>
      <c r="AK59" s="484" t="s">
        <v>360</v>
      </c>
      <c r="AL59" s="40">
        <v>2017</v>
      </c>
      <c r="AM59" s="162"/>
      <c r="AN59" s="53"/>
      <c r="AO59" s="324">
        <f t="shared" si="55"/>
        <v>4</v>
      </c>
      <c r="AP59" s="256" t="str">
        <f t="shared" si="56"/>
        <v>/</v>
      </c>
      <c r="AQ59" s="87">
        <f t="shared" si="57"/>
        <v>6</v>
      </c>
      <c r="AR59" s="47">
        <f t="shared" si="58"/>
        <v>7.28</v>
      </c>
      <c r="AS59" s="413"/>
      <c r="AT59" s="48" t="s">
        <v>342</v>
      </c>
      <c r="AU59" s="484" t="s">
        <v>360</v>
      </c>
      <c r="AV59" s="82" t="s">
        <v>346</v>
      </c>
      <c r="AW59" s="484" t="s">
        <v>360</v>
      </c>
      <c r="AX59" s="40">
        <v>2020</v>
      </c>
      <c r="AY59" s="91"/>
      <c r="AZ59" s="266"/>
      <c r="BA59" s="480"/>
      <c r="BB59" s="51">
        <f t="shared" si="59"/>
        <v>3</v>
      </c>
      <c r="BC59" s="328">
        <f t="shared" si="60"/>
        <v>-24248</v>
      </c>
      <c r="BD59" s="280">
        <f>VLOOKUP(Y59,'Du lieu lien quan'!$C$1:$F$60,3,0)</f>
        <v>6.2</v>
      </c>
      <c r="BE59" s="280">
        <f>VLOOKUP(Y59,'Du lieu lien quan'!$C$1:$F$60,4,0)</f>
        <v>0.36</v>
      </c>
      <c r="BF59" s="57" t="str">
        <f t="shared" si="61"/>
        <v>PCTN</v>
      </c>
      <c r="BG59" s="58">
        <v>37</v>
      </c>
      <c r="BH59" s="424" t="s">
        <v>333</v>
      </c>
      <c r="BI59" s="60" t="s">
        <v>342</v>
      </c>
      <c r="BJ59" s="489" t="s">
        <v>360</v>
      </c>
      <c r="BK59" s="422">
        <v>10</v>
      </c>
      <c r="BL59" s="489" t="s">
        <v>360</v>
      </c>
      <c r="BM59" s="40">
        <v>2021</v>
      </c>
      <c r="BN59" s="162"/>
      <c r="BO59" s="62"/>
      <c r="BP59" s="59">
        <f t="shared" si="62"/>
        <v>38</v>
      </c>
      <c r="BQ59" s="429" t="s">
        <v>333</v>
      </c>
      <c r="BR59" s="60" t="s">
        <v>342</v>
      </c>
      <c r="BS59" s="484" t="s">
        <v>360</v>
      </c>
      <c r="BT59" s="420">
        <v>10</v>
      </c>
      <c r="BU59" s="484" t="s">
        <v>360</v>
      </c>
      <c r="BV59" s="40">
        <v>2022</v>
      </c>
      <c r="BW59" s="61"/>
      <c r="BX59" s="161"/>
      <c r="BY59" s="329">
        <f t="shared" si="63"/>
        <v>-24274</v>
      </c>
      <c r="BZ59" s="57" t="str">
        <f t="shared" si="64"/>
        <v>- - -</v>
      </c>
      <c r="CA59" s="392" t="str">
        <f t="shared" si="65"/>
        <v>Chánh Văn phòng Học viện, Trưởng Ban Tổ chức - Cán bộ, Trưởng Khoa Quản lý nhà nước về Kinh tế và Tài chính công</v>
      </c>
      <c r="CB59" s="63" t="str">
        <f t="shared" si="66"/>
        <v>A</v>
      </c>
      <c r="CC59" s="41" t="str">
        <f t="shared" si="67"/>
        <v>=&gt; s</v>
      </c>
      <c r="CD59" s="52">
        <f t="shared" si="68"/>
        <v>24272</v>
      </c>
      <c r="CE59" s="35" t="str">
        <f t="shared" si="69"/>
        <v>S</v>
      </c>
      <c r="CF59" s="35">
        <v>2017</v>
      </c>
      <c r="CG59" s="379" t="s">
        <v>428</v>
      </c>
      <c r="CH59" s="35"/>
      <c r="CI59" s="135"/>
      <c r="CJ59" s="35" t="str">
        <f t="shared" si="70"/>
        <v>- - -</v>
      </c>
      <c r="CK59" s="55" t="str">
        <f t="shared" si="71"/>
        <v>NN</v>
      </c>
      <c r="CL59" s="65">
        <v>5</v>
      </c>
      <c r="CM59" s="66">
        <v>2012</v>
      </c>
      <c r="CN59" s="65"/>
      <c r="CO59" s="84"/>
      <c r="CP59" s="55" t="str">
        <f t="shared" si="72"/>
        <v>- - -</v>
      </c>
      <c r="CQ59" s="65"/>
      <c r="CR59" s="66"/>
      <c r="CS59" s="65"/>
      <c r="CT59" s="84"/>
      <c r="CU59" s="69" t="str">
        <f t="shared" si="73"/>
        <v>---</v>
      </c>
      <c r="CV59" s="70" t="str">
        <f t="shared" si="74"/>
        <v>/-/ /-/</v>
      </c>
      <c r="CW59" s="67">
        <f t="shared" si="75"/>
        <v>2</v>
      </c>
      <c r="CX59" s="68">
        <f t="shared" si="76"/>
        <v>2019</v>
      </c>
      <c r="CY59" s="67">
        <f t="shared" si="77"/>
        <v>11</v>
      </c>
      <c r="CZ59" s="68">
        <f t="shared" si="78"/>
        <v>2018</v>
      </c>
      <c r="DA59" s="67">
        <f t="shared" si="79"/>
        <v>8</v>
      </c>
      <c r="DB59" s="68">
        <f t="shared" si="80"/>
        <v>2018</v>
      </c>
      <c r="DC59" s="71" t="str">
        <f t="shared" si="81"/>
        <v>- - -</v>
      </c>
      <c r="DD59" s="72" t="str">
        <f t="shared" si="82"/>
        <v>. .</v>
      </c>
      <c r="DE59" s="72"/>
      <c r="DF59" s="52">
        <f t="shared" si="83"/>
        <v>720</v>
      </c>
      <c r="DG59" s="52">
        <f t="shared" si="84"/>
        <v>-23497</v>
      </c>
      <c r="DH59" s="52">
        <f t="shared" si="85"/>
        <v>-1959</v>
      </c>
      <c r="DI59" s="52" t="str">
        <f t="shared" si="86"/>
        <v>Nam dưới 35</v>
      </c>
      <c r="DJ59" s="93"/>
      <c r="DK59" s="52"/>
      <c r="DL59" s="57" t="str">
        <f t="shared" si="87"/>
        <v>Đến 30</v>
      </c>
      <c r="DM59" s="65" t="str">
        <f t="shared" si="88"/>
        <v>--</v>
      </c>
      <c r="DN59" s="36"/>
      <c r="DO59" s="35"/>
      <c r="DP59" s="73"/>
      <c r="DQ59" s="36"/>
      <c r="DR59" s="84"/>
      <c r="DS59" s="85"/>
      <c r="DT59" s="86"/>
      <c r="DU59" s="76"/>
      <c r="DV59" s="91"/>
      <c r="DW59" s="37"/>
      <c r="DX59" s="391" t="s">
        <v>126</v>
      </c>
      <c r="DY59" s="37"/>
      <c r="DZ59" s="48" t="s">
        <v>342</v>
      </c>
      <c r="EA59" s="49" t="s">
        <v>360</v>
      </c>
      <c r="EB59" s="49" t="s">
        <v>344</v>
      </c>
      <c r="EC59" s="49" t="s">
        <v>360</v>
      </c>
      <c r="ED59" s="77">
        <v>2012</v>
      </c>
      <c r="EE59" s="49">
        <f t="shared" si="93"/>
        <v>0</v>
      </c>
      <c r="EF59" s="78" t="str">
        <f t="shared" si="94"/>
        <v>- - -</v>
      </c>
      <c r="EG59" s="48" t="s">
        <v>342</v>
      </c>
      <c r="EH59" s="49" t="s">
        <v>360</v>
      </c>
      <c r="EI59" s="49" t="s">
        <v>344</v>
      </c>
      <c r="EJ59" s="49" t="s">
        <v>360</v>
      </c>
      <c r="EK59" s="77">
        <v>2012</v>
      </c>
      <c r="EL59" s="35">
        <v>5.76</v>
      </c>
      <c r="EM59" s="55" t="str">
        <f t="shared" si="89"/>
        <v>- - -</v>
      </c>
      <c r="EN59" s="79" t="str">
        <f t="shared" si="90"/>
        <v>---</v>
      </c>
      <c r="EO59" s="91"/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/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/>
      <c r="FM59" s="80"/>
      <c r="FN59" s="80"/>
      <c r="FO59" s="80"/>
      <c r="FP59" s="80"/>
      <c r="FQ59" s="80"/>
      <c r="FR59" s="80"/>
    </row>
    <row r="60" spans="1:174" s="238" customFormat="1" ht="11.25" customHeight="1" x14ac:dyDescent="0.2">
      <c r="A60" s="101">
        <v>263</v>
      </c>
      <c r="B60" s="371">
        <v>8</v>
      </c>
      <c r="C60" s="35"/>
      <c r="D60" s="35" t="str">
        <f t="shared" si="48"/>
        <v>Bà</v>
      </c>
      <c r="E60" s="40" t="s">
        <v>51</v>
      </c>
      <c r="F60" s="35" t="s">
        <v>381</v>
      </c>
      <c r="G60" s="64" t="s">
        <v>282</v>
      </c>
      <c r="H60" s="620" t="s">
        <v>360</v>
      </c>
      <c r="I60" s="64" t="s">
        <v>348</v>
      </c>
      <c r="J60" s="620" t="s">
        <v>360</v>
      </c>
      <c r="K60" s="40">
        <v>1981</v>
      </c>
      <c r="L60" s="193" t="s">
        <v>452</v>
      </c>
      <c r="M60" s="40" t="str">
        <f t="shared" si="49"/>
        <v>VC</v>
      </c>
      <c r="N60" s="40"/>
      <c r="O60" s="40" t="e">
        <f t="shared" si="50"/>
        <v>#N/A</v>
      </c>
      <c r="P60" s="40"/>
      <c r="Q60" s="40" t="e">
        <f>VLOOKUP(P60,'Du lieu lien quan'!$C$2:$H$115,2,0)</f>
        <v>#N/A</v>
      </c>
      <c r="R60" s="40" t="s">
        <v>635</v>
      </c>
      <c r="S60" s="40" t="s">
        <v>556</v>
      </c>
      <c r="T60" s="38" t="str">
        <f>VLOOKUP(Y60,'Du lieu lien quan'!$C$2:$H$60,5,0)</f>
        <v>A1</v>
      </c>
      <c r="U60" s="39" t="str">
        <f>VLOOKUP(Y60,'Du lieu lien quan'!$C$2:$H$60,6,0)</f>
        <v>- - -</v>
      </c>
      <c r="V60" s="663" t="s">
        <v>424</v>
      </c>
      <c r="W60" s="370" t="str">
        <f t="shared" si="51"/>
        <v>Giảng viên (hạng III)</v>
      </c>
      <c r="X60" s="373" t="str">
        <f t="shared" si="52"/>
        <v>V.07.01.03</v>
      </c>
      <c r="Y60" s="397" t="s">
        <v>430</v>
      </c>
      <c r="Z60" s="397" t="str">
        <f>VLOOKUP(Y60,'Du lieu lien quan'!$C$1:$H$133,2,0)</f>
        <v>V.07.01.03</v>
      </c>
      <c r="AA60" s="52" t="str">
        <f t="shared" si="53"/>
        <v>Lương</v>
      </c>
      <c r="AB60" s="175">
        <v>5</v>
      </c>
      <c r="AC60" s="495" t="str">
        <f t="shared" si="91"/>
        <v>/</v>
      </c>
      <c r="AD60" s="43">
        <f t="shared" si="92"/>
        <v>9</v>
      </c>
      <c r="AE60" s="44">
        <f t="shared" si="54"/>
        <v>3.66</v>
      </c>
      <c r="AF60" s="409"/>
      <c r="AG60" s="109"/>
      <c r="AH60" s="485"/>
      <c r="AI60" s="493" t="s">
        <v>360</v>
      </c>
      <c r="AJ60" s="44"/>
      <c r="AK60" s="493" t="s">
        <v>360</v>
      </c>
      <c r="AL60" s="40">
        <v>2017</v>
      </c>
      <c r="AM60" s="162"/>
      <c r="AN60" s="53"/>
      <c r="AO60" s="324">
        <f t="shared" si="55"/>
        <v>6</v>
      </c>
      <c r="AP60" s="256" t="str">
        <f t="shared" si="56"/>
        <v>/</v>
      </c>
      <c r="AQ60" s="87">
        <f t="shared" si="57"/>
        <v>9</v>
      </c>
      <c r="AR60" s="47">
        <f t="shared" si="58"/>
        <v>3.99</v>
      </c>
      <c r="AS60" s="413"/>
      <c r="AT60" s="48" t="s">
        <v>342</v>
      </c>
      <c r="AU60" s="484" t="s">
        <v>360</v>
      </c>
      <c r="AV60" s="82" t="s">
        <v>350</v>
      </c>
      <c r="AW60" s="484" t="s">
        <v>360</v>
      </c>
      <c r="AX60" s="520">
        <v>2020</v>
      </c>
      <c r="AY60" s="91"/>
      <c r="AZ60" s="266" t="s">
        <v>612</v>
      </c>
      <c r="BA60" s="480"/>
      <c r="BB60" s="51">
        <f t="shared" si="59"/>
        <v>3</v>
      </c>
      <c r="BC60" s="328">
        <f t="shared" si="60"/>
        <v>-24252</v>
      </c>
      <c r="BD60" s="280">
        <f>VLOOKUP(Y60,'Du lieu lien quan'!$C$1:$F$60,3,0)</f>
        <v>2.34</v>
      </c>
      <c r="BE60" s="280">
        <f>VLOOKUP(Y60,'Du lieu lien quan'!$C$1:$F$60,4,0)</f>
        <v>0.33</v>
      </c>
      <c r="BF60" s="57" t="str">
        <f t="shared" si="61"/>
        <v>PCTN</v>
      </c>
      <c r="BG60" s="58">
        <v>16</v>
      </c>
      <c r="BH60" s="424" t="s">
        <v>333</v>
      </c>
      <c r="BI60" s="60" t="s">
        <v>342</v>
      </c>
      <c r="BJ60" s="489" t="s">
        <v>360</v>
      </c>
      <c r="BK60" s="422">
        <v>10</v>
      </c>
      <c r="BL60" s="489"/>
      <c r="BM60" s="40">
        <v>2021</v>
      </c>
      <c r="BN60" s="162"/>
      <c r="BO60" s="62"/>
      <c r="BP60" s="59">
        <f t="shared" si="62"/>
        <v>17</v>
      </c>
      <c r="BQ60" s="429" t="s">
        <v>333</v>
      </c>
      <c r="BR60" s="60" t="s">
        <v>342</v>
      </c>
      <c r="BS60" s="489" t="s">
        <v>360</v>
      </c>
      <c r="BT60" s="422" t="s">
        <v>372</v>
      </c>
      <c r="BU60" s="489" t="s">
        <v>360</v>
      </c>
      <c r="BV60" s="40">
        <v>2022</v>
      </c>
      <c r="BW60" s="61" t="s">
        <v>616</v>
      </c>
      <c r="BX60" s="161"/>
      <c r="BY60" s="329">
        <f t="shared" si="63"/>
        <v>-24274</v>
      </c>
      <c r="BZ60" s="57" t="str">
        <f>IF(AND(CV60="Hưu",BG60&gt;3),12-(12*BY57(DB60-BV60)+(DA60-BT60))-BN60,"- - -")</f>
        <v>- - -</v>
      </c>
      <c r="CA60" s="392" t="str">
        <f t="shared" si="65"/>
        <v>Chánh Văn phòng Học viện, Trưởng Ban Tổ chức - Cán bộ, Trưởng Khoa Quản lý nhà nước về Kinh tế và Tài chính công</v>
      </c>
      <c r="CB60" s="63" t="str">
        <f t="shared" si="66"/>
        <v>A</v>
      </c>
      <c r="CC60" s="41" t="str">
        <f t="shared" si="67"/>
        <v>=&gt; s</v>
      </c>
      <c r="CD60" s="52">
        <f t="shared" si="68"/>
        <v>24276</v>
      </c>
      <c r="CE60" s="35" t="str">
        <f t="shared" si="69"/>
        <v>---</v>
      </c>
      <c r="CF60" s="35"/>
      <c r="CG60" s="379"/>
      <c r="CH60" s="35"/>
      <c r="CI60" s="98"/>
      <c r="CJ60" s="35" t="str">
        <f t="shared" si="70"/>
        <v>- - -</v>
      </c>
      <c r="CK60" s="55" t="str">
        <f t="shared" si="71"/>
        <v>- - -</v>
      </c>
      <c r="CL60" s="65"/>
      <c r="CM60" s="66"/>
      <c r="CN60" s="65"/>
      <c r="CO60" s="84"/>
      <c r="CP60" s="55" t="str">
        <f t="shared" si="72"/>
        <v>- - -</v>
      </c>
      <c r="CQ60" s="65"/>
      <c r="CR60" s="66"/>
      <c r="CS60" s="65"/>
      <c r="CT60" s="84"/>
      <c r="CU60" s="69" t="str">
        <f t="shared" si="73"/>
        <v>---</v>
      </c>
      <c r="CV60" s="70" t="str">
        <f t="shared" si="74"/>
        <v>/-/ /-/</v>
      </c>
      <c r="CW60" s="67">
        <f t="shared" si="75"/>
        <v>8</v>
      </c>
      <c r="CX60" s="68">
        <f t="shared" si="76"/>
        <v>2036</v>
      </c>
      <c r="CY60" s="67">
        <f t="shared" si="77"/>
        <v>5</v>
      </c>
      <c r="CZ60" s="68">
        <f t="shared" si="78"/>
        <v>2036</v>
      </c>
      <c r="DA60" s="67">
        <f t="shared" si="79"/>
        <v>2</v>
      </c>
      <c r="DB60" s="68">
        <f t="shared" si="80"/>
        <v>2036</v>
      </c>
      <c r="DC60" s="71" t="str">
        <f t="shared" si="81"/>
        <v>- - -</v>
      </c>
      <c r="DD60" s="72" t="str">
        <f t="shared" si="82"/>
        <v>. .</v>
      </c>
      <c r="DE60" s="72"/>
      <c r="DF60" s="52">
        <f t="shared" si="83"/>
        <v>660</v>
      </c>
      <c r="DG60" s="52">
        <f t="shared" si="84"/>
        <v>-23767</v>
      </c>
      <c r="DH60" s="52">
        <f t="shared" si="85"/>
        <v>-1981</v>
      </c>
      <c r="DI60" s="52" t="str">
        <f t="shared" si="86"/>
        <v>Nữ dưới 30</v>
      </c>
      <c r="DJ60" s="52"/>
      <c r="DK60" s="52"/>
      <c r="DL60" s="57" t="str">
        <f t="shared" si="87"/>
        <v>Đến 30</v>
      </c>
      <c r="DM60" s="65" t="str">
        <f t="shared" si="88"/>
        <v>--</v>
      </c>
      <c r="DN60" s="36"/>
      <c r="DO60" s="95"/>
      <c r="DP60" s="73"/>
      <c r="DQ60" s="36"/>
      <c r="DR60" s="84"/>
      <c r="DS60" s="85"/>
      <c r="DT60" s="86"/>
      <c r="DU60" s="76"/>
      <c r="DV60" s="91"/>
      <c r="DW60" s="37" t="s">
        <v>50</v>
      </c>
      <c r="DX60" s="391" t="s">
        <v>126</v>
      </c>
      <c r="DY60" s="37" t="s">
        <v>50</v>
      </c>
      <c r="DZ60" s="48" t="s">
        <v>342</v>
      </c>
      <c r="EA60" s="49" t="s">
        <v>360</v>
      </c>
      <c r="EB60" s="49" t="s">
        <v>350</v>
      </c>
      <c r="EC60" s="49" t="s">
        <v>360</v>
      </c>
      <c r="ED60" s="77" t="s">
        <v>364</v>
      </c>
      <c r="EE60" s="49">
        <f t="shared" si="93"/>
        <v>0</v>
      </c>
      <c r="EF60" s="78" t="str">
        <f t="shared" si="94"/>
        <v>- - -</v>
      </c>
      <c r="EG60" s="48" t="s">
        <v>342</v>
      </c>
      <c r="EH60" s="49" t="s">
        <v>360</v>
      </c>
      <c r="EI60" s="49" t="s">
        <v>350</v>
      </c>
      <c r="EJ60" s="49" t="s">
        <v>360</v>
      </c>
      <c r="EK60" s="77" t="s">
        <v>364</v>
      </c>
      <c r="EL60" s="35"/>
      <c r="EM60" s="55" t="str">
        <f t="shared" si="89"/>
        <v>- - -</v>
      </c>
      <c r="EN60" s="79" t="str">
        <f t="shared" si="90"/>
        <v>---</v>
      </c>
      <c r="EO60" s="91"/>
      <c r="EP60" s="680"/>
      <c r="EQ60" s="680"/>
      <c r="ER60" s="680"/>
      <c r="ES60" s="680"/>
      <c r="ET60" s="680"/>
      <c r="EU60" s="680"/>
      <c r="EV60" s="680"/>
      <c r="EW60" s="680"/>
      <c r="EX60" s="680"/>
      <c r="EY60" s="680"/>
      <c r="EZ60" s="680"/>
      <c r="FA60" s="680"/>
      <c r="FB60" s="680"/>
      <c r="FC60" s="680"/>
      <c r="FD60" s="680"/>
      <c r="FE60" s="680"/>
      <c r="FF60" s="680"/>
      <c r="FG60" s="680"/>
      <c r="FH60" s="680"/>
      <c r="FI60" s="680"/>
      <c r="FJ60" s="680"/>
      <c r="FK60" s="680"/>
      <c r="FL60" s="680"/>
      <c r="FM60" s="80"/>
      <c r="FN60" s="136"/>
      <c r="FO60" s="136"/>
      <c r="FP60" s="136"/>
      <c r="FQ60" s="136"/>
      <c r="FR60" s="136"/>
    </row>
    <row r="61" spans="1:174" s="238" customFormat="1" ht="12" customHeight="1" x14ac:dyDescent="0.2">
      <c r="A61" s="101">
        <v>267</v>
      </c>
      <c r="B61" s="517">
        <v>9</v>
      </c>
      <c r="C61" s="35"/>
      <c r="D61" s="35" t="str">
        <f t="shared" si="48"/>
        <v>Bà</v>
      </c>
      <c r="E61" s="40" t="s">
        <v>27</v>
      </c>
      <c r="F61" s="35" t="s">
        <v>381</v>
      </c>
      <c r="G61" s="64" t="s">
        <v>383</v>
      </c>
      <c r="H61" s="620" t="s">
        <v>360</v>
      </c>
      <c r="I61" s="64" t="s">
        <v>345</v>
      </c>
      <c r="J61" s="620" t="s">
        <v>360</v>
      </c>
      <c r="K61" s="40" t="s">
        <v>339</v>
      </c>
      <c r="L61" s="193" t="s">
        <v>452</v>
      </c>
      <c r="M61" s="652" t="str">
        <f t="shared" si="49"/>
        <v>VC</v>
      </c>
      <c r="N61" s="199"/>
      <c r="O61" s="621" t="e">
        <f t="shared" si="50"/>
        <v>#N/A</v>
      </c>
      <c r="P61" s="40"/>
      <c r="Q61" s="371" t="e">
        <f>VLOOKUP(P61,'Du lieu lien quan'!$C$2:$H$115,2,0)</f>
        <v>#N/A</v>
      </c>
      <c r="R61" s="40" t="s">
        <v>115</v>
      </c>
      <c r="S61" s="40" t="s">
        <v>556</v>
      </c>
      <c r="T61" s="38" t="str">
        <f>VLOOKUP(Y61,'Du lieu lien quan'!$C$2:$H$60,5,0)</f>
        <v>A2</v>
      </c>
      <c r="U61" s="39" t="str">
        <f>VLOOKUP(Y61,'Du lieu lien quan'!$C$2:$H$60,6,0)</f>
        <v>A2.1</v>
      </c>
      <c r="V61" s="663" t="s">
        <v>424</v>
      </c>
      <c r="W61" s="370" t="str">
        <f t="shared" si="51"/>
        <v>Giảng viên chính (hạng II)</v>
      </c>
      <c r="X61" s="373" t="str">
        <f t="shared" si="52"/>
        <v>V.07.01.02</v>
      </c>
      <c r="Y61" s="397" t="s">
        <v>431</v>
      </c>
      <c r="Z61" s="397" t="str">
        <f>VLOOKUP(Y61,'Du lieu lien quan'!$C$1:$H$133,2,0)</f>
        <v>V.07.01.02</v>
      </c>
      <c r="AA61" s="52" t="str">
        <f t="shared" si="53"/>
        <v>Lương</v>
      </c>
      <c r="AB61" s="175">
        <v>0</v>
      </c>
      <c r="AC61" s="495" t="str">
        <f t="shared" si="91"/>
        <v>/</v>
      </c>
      <c r="AD61" s="43">
        <f t="shared" si="92"/>
        <v>8</v>
      </c>
      <c r="AE61" s="44">
        <f t="shared" si="54"/>
        <v>4.0600000000000005</v>
      </c>
      <c r="AF61" s="409"/>
      <c r="AG61" s="109"/>
      <c r="AH61" s="485"/>
      <c r="AI61" s="493" t="s">
        <v>360</v>
      </c>
      <c r="AJ61" s="44"/>
      <c r="AK61" s="493" t="s">
        <v>360</v>
      </c>
      <c r="AL61" s="623"/>
      <c r="AM61" s="162"/>
      <c r="AN61" s="53"/>
      <c r="AO61" s="324">
        <f t="shared" si="55"/>
        <v>1</v>
      </c>
      <c r="AP61" s="256" t="str">
        <f t="shared" si="56"/>
        <v>/</v>
      </c>
      <c r="AQ61" s="87">
        <f t="shared" si="57"/>
        <v>8</v>
      </c>
      <c r="AR61" s="47">
        <f t="shared" si="58"/>
        <v>4.4000000000000004</v>
      </c>
      <c r="AS61" s="413"/>
      <c r="AT61" s="48" t="s">
        <v>342</v>
      </c>
      <c r="AU61" s="484" t="s">
        <v>360</v>
      </c>
      <c r="AV61" s="82" t="s">
        <v>342</v>
      </c>
      <c r="AW61" s="484" t="s">
        <v>360</v>
      </c>
      <c r="AX61" s="40">
        <v>2021</v>
      </c>
      <c r="AY61" s="91"/>
      <c r="AZ61" s="266" t="s">
        <v>639</v>
      </c>
      <c r="BA61" s="480"/>
      <c r="BB61" s="51">
        <f t="shared" si="59"/>
        <v>3</v>
      </c>
      <c r="BC61" s="328">
        <f t="shared" si="60"/>
        <v>-24253</v>
      </c>
      <c r="BD61" s="280">
        <f>VLOOKUP(Y61,'Du lieu lien quan'!$C$1:$F$60,3,0)</f>
        <v>4.4000000000000004</v>
      </c>
      <c r="BE61" s="280">
        <f>VLOOKUP(Y61,'Du lieu lien quan'!$C$1:$F$60,4,0)</f>
        <v>0.34</v>
      </c>
      <c r="BF61" s="57" t="str">
        <f t="shared" si="61"/>
        <v>PCTN</v>
      </c>
      <c r="BG61" s="58">
        <v>14</v>
      </c>
      <c r="BH61" s="424" t="s">
        <v>333</v>
      </c>
      <c r="BI61" s="60" t="s">
        <v>342</v>
      </c>
      <c r="BJ61" s="489" t="s">
        <v>360</v>
      </c>
      <c r="BK61" s="422" t="s">
        <v>372</v>
      </c>
      <c r="BL61" s="489" t="s">
        <v>360</v>
      </c>
      <c r="BM61" s="40">
        <v>2021</v>
      </c>
      <c r="BN61" s="162"/>
      <c r="BO61" s="62"/>
      <c r="BP61" s="59">
        <f t="shared" si="62"/>
        <v>15</v>
      </c>
      <c r="BQ61" s="429" t="s">
        <v>333</v>
      </c>
      <c r="BR61" s="60" t="s">
        <v>342</v>
      </c>
      <c r="BS61" s="484" t="s">
        <v>360</v>
      </c>
      <c r="BT61" s="420" t="s">
        <v>372</v>
      </c>
      <c r="BU61" s="484" t="s">
        <v>360</v>
      </c>
      <c r="BV61" s="40">
        <v>2022</v>
      </c>
      <c r="BW61" s="61"/>
      <c r="BX61" s="161"/>
      <c r="BY61" s="329">
        <f t="shared" si="63"/>
        <v>-24274</v>
      </c>
      <c r="BZ61" s="57" t="str">
        <f t="shared" ref="BZ61:BZ74" si="95">IF(AND(CV61="Hưu",BG61&gt;3),12-(12*(DB61-BV61)+(DA61-BT61))-BN61,"- - -")</f>
        <v>- - -</v>
      </c>
      <c r="CA61" s="392" t="str">
        <f t="shared" si="65"/>
        <v>Chánh Văn phòng Học viện, Trưởng Ban Tổ chức - Cán bộ, Trưởng Khoa Quản lý nhà nước về Kinh tế và Tài chính công</v>
      </c>
      <c r="CB61" s="63" t="str">
        <f t="shared" si="66"/>
        <v>A</v>
      </c>
      <c r="CC61" s="41" t="str">
        <f t="shared" si="67"/>
        <v>=&gt; s</v>
      </c>
      <c r="CD61" s="52">
        <f t="shared" si="68"/>
        <v>24277</v>
      </c>
      <c r="CE61" s="35" t="str">
        <f t="shared" si="69"/>
        <v>---</v>
      </c>
      <c r="CF61" s="35"/>
      <c r="CG61" s="379"/>
      <c r="CH61" s="35"/>
      <c r="CI61" s="135"/>
      <c r="CJ61" s="35" t="str">
        <f t="shared" si="70"/>
        <v>- - -</v>
      </c>
      <c r="CK61" s="55" t="str">
        <f t="shared" si="71"/>
        <v>- - -</v>
      </c>
      <c r="CL61" s="65"/>
      <c r="CM61" s="66"/>
      <c r="CN61" s="65"/>
      <c r="CO61" s="84"/>
      <c r="CP61" s="55" t="str">
        <f t="shared" si="72"/>
        <v>- - -</v>
      </c>
      <c r="CQ61" s="65"/>
      <c r="CR61" s="66"/>
      <c r="CS61" s="65"/>
      <c r="CT61" s="84"/>
      <c r="CU61" s="69" t="str">
        <f t="shared" si="73"/>
        <v>---</v>
      </c>
      <c r="CV61" s="70" t="str">
        <f t="shared" si="74"/>
        <v>/-/ /-/</v>
      </c>
      <c r="CW61" s="67">
        <f t="shared" si="75"/>
        <v>7</v>
      </c>
      <c r="CX61" s="68">
        <f t="shared" si="76"/>
        <v>2033</v>
      </c>
      <c r="CY61" s="67">
        <f t="shared" si="77"/>
        <v>4</v>
      </c>
      <c r="CZ61" s="68">
        <f t="shared" si="78"/>
        <v>2033</v>
      </c>
      <c r="DA61" s="67">
        <f t="shared" si="79"/>
        <v>1</v>
      </c>
      <c r="DB61" s="68">
        <f t="shared" si="80"/>
        <v>2033</v>
      </c>
      <c r="DC61" s="71" t="str">
        <f t="shared" si="81"/>
        <v>- - -</v>
      </c>
      <c r="DD61" s="72" t="str">
        <f t="shared" si="82"/>
        <v>. .</v>
      </c>
      <c r="DE61" s="72"/>
      <c r="DF61" s="52">
        <f t="shared" si="83"/>
        <v>660</v>
      </c>
      <c r="DG61" s="52">
        <f t="shared" si="84"/>
        <v>-23730</v>
      </c>
      <c r="DH61" s="52">
        <f t="shared" si="85"/>
        <v>-1978</v>
      </c>
      <c r="DI61" s="52" t="str">
        <f t="shared" si="86"/>
        <v>Nữ dưới 30</v>
      </c>
      <c r="DJ61" s="52"/>
      <c r="DK61" s="52"/>
      <c r="DL61" s="57" t="str">
        <f t="shared" si="87"/>
        <v>Đến 30</v>
      </c>
      <c r="DM61" s="65" t="str">
        <f t="shared" si="88"/>
        <v>--</v>
      </c>
      <c r="DN61" s="36"/>
      <c r="DO61" s="35"/>
      <c r="DP61" s="73"/>
      <c r="DQ61" s="36"/>
      <c r="DR61" s="84"/>
      <c r="DS61" s="85"/>
      <c r="DT61" s="86"/>
      <c r="DU61" s="76"/>
      <c r="DV61" s="91"/>
      <c r="DW61" s="37" t="s">
        <v>115</v>
      </c>
      <c r="DX61" s="391" t="s">
        <v>126</v>
      </c>
      <c r="DY61" s="37" t="s">
        <v>115</v>
      </c>
      <c r="DZ61" s="48" t="s">
        <v>342</v>
      </c>
      <c r="EA61" s="49" t="s">
        <v>360</v>
      </c>
      <c r="EB61" s="49" t="s">
        <v>373</v>
      </c>
      <c r="EC61" s="49" t="s">
        <v>360</v>
      </c>
      <c r="ED61" s="77">
        <v>2012</v>
      </c>
      <c r="EE61" s="49">
        <f t="shared" si="93"/>
        <v>0</v>
      </c>
      <c r="EF61" s="78" t="str">
        <f t="shared" si="94"/>
        <v>- - -</v>
      </c>
      <c r="EG61" s="48" t="s">
        <v>342</v>
      </c>
      <c r="EH61" s="49" t="s">
        <v>360</v>
      </c>
      <c r="EI61" s="49" t="s">
        <v>373</v>
      </c>
      <c r="EJ61" s="49" t="s">
        <v>360</v>
      </c>
      <c r="EK61" s="77">
        <v>2012</v>
      </c>
      <c r="EL61" s="35"/>
      <c r="EM61" s="55">
        <f t="shared" si="89"/>
        <v>3.74</v>
      </c>
      <c r="EN61" s="79" t="str">
        <f t="shared" si="90"/>
        <v>---</v>
      </c>
      <c r="EO61" s="91"/>
      <c r="EP61" s="80"/>
      <c r="EQ61" s="80"/>
      <c r="ER61" s="80"/>
      <c r="ES61" s="80"/>
      <c r="ET61" s="80"/>
      <c r="EU61" s="80"/>
      <c r="EV61" s="80"/>
      <c r="EW61" s="80"/>
      <c r="EX61" s="80"/>
      <c r="EY61" s="80"/>
      <c r="EZ61" s="80"/>
      <c r="FA61" s="80"/>
      <c r="FB61" s="80"/>
      <c r="FC61" s="80"/>
      <c r="FD61" s="80"/>
      <c r="FE61" s="80"/>
      <c r="FF61" s="80"/>
      <c r="FG61" s="80"/>
      <c r="FH61" s="80"/>
      <c r="FI61" s="80"/>
      <c r="FJ61" s="80"/>
      <c r="FK61" s="80"/>
      <c r="FL61" s="80"/>
      <c r="FM61" s="80"/>
      <c r="FN61" s="80"/>
      <c r="FO61" s="80"/>
      <c r="FP61" s="80"/>
      <c r="FQ61" s="80"/>
      <c r="FR61" s="80"/>
    </row>
    <row r="62" spans="1:174" s="238" customFormat="1" ht="12.75" customHeight="1" x14ac:dyDescent="0.2">
      <c r="A62" s="101">
        <v>286</v>
      </c>
      <c r="B62" s="371">
        <v>10</v>
      </c>
      <c r="C62" s="35"/>
      <c r="D62" s="35" t="str">
        <f t="shared" si="48"/>
        <v>Bà</v>
      </c>
      <c r="E62" s="40" t="s">
        <v>42</v>
      </c>
      <c r="F62" s="35" t="s">
        <v>381</v>
      </c>
      <c r="G62" s="64" t="s">
        <v>288</v>
      </c>
      <c r="H62" s="620" t="s">
        <v>360</v>
      </c>
      <c r="I62" s="64" t="s">
        <v>344</v>
      </c>
      <c r="J62" s="620" t="s">
        <v>360</v>
      </c>
      <c r="K62" s="40" t="s">
        <v>334</v>
      </c>
      <c r="L62" s="193" t="s">
        <v>452</v>
      </c>
      <c r="M62" s="652" t="str">
        <f t="shared" si="49"/>
        <v>VC</v>
      </c>
      <c r="N62" s="199"/>
      <c r="O62" s="621" t="e">
        <f t="shared" si="50"/>
        <v>#N/A</v>
      </c>
      <c r="P62" s="40"/>
      <c r="Q62" s="371" t="e">
        <f>VLOOKUP(P62,'Du lieu lien quan'!$C$2:$H$115,2,0)</f>
        <v>#N/A</v>
      </c>
      <c r="R62" s="40" t="s">
        <v>43</v>
      </c>
      <c r="S62" s="40" t="s">
        <v>122</v>
      </c>
      <c r="T62" s="38" t="str">
        <f>VLOOKUP(Y62,'Du lieu lien quan'!$C$2:$H$60,5,0)</f>
        <v>A2</v>
      </c>
      <c r="U62" s="39" t="str">
        <f>VLOOKUP(Y62,'Du lieu lien quan'!$C$2:$H$60,6,0)</f>
        <v>A2.1</v>
      </c>
      <c r="V62" s="663" t="s">
        <v>424</v>
      </c>
      <c r="W62" s="370" t="str">
        <f t="shared" si="51"/>
        <v>Giảng viên chính (hạng II)</v>
      </c>
      <c r="X62" s="373" t="str">
        <f t="shared" si="52"/>
        <v>V.07.01.02</v>
      </c>
      <c r="Y62" s="397" t="s">
        <v>431</v>
      </c>
      <c r="Z62" s="397" t="str">
        <f>VLOOKUP(Y62,'Du lieu lien quan'!$C$1:$H$133,2,0)</f>
        <v>V.07.01.02</v>
      </c>
      <c r="AA62" s="52" t="str">
        <f t="shared" si="53"/>
        <v>Lương</v>
      </c>
      <c r="AB62" s="175">
        <v>0</v>
      </c>
      <c r="AC62" s="495" t="str">
        <f t="shared" si="91"/>
        <v>/</v>
      </c>
      <c r="AD62" s="43">
        <f t="shared" si="92"/>
        <v>8</v>
      </c>
      <c r="AE62" s="44">
        <f t="shared" si="54"/>
        <v>4.0600000000000005</v>
      </c>
      <c r="AF62" s="409"/>
      <c r="AG62" s="109"/>
      <c r="AH62" s="48" t="s">
        <v>342</v>
      </c>
      <c r="AI62" s="484" t="s">
        <v>360</v>
      </c>
      <c r="AJ62" s="82" t="s">
        <v>372</v>
      </c>
      <c r="AK62" s="484" t="s">
        <v>360</v>
      </c>
      <c r="AL62" s="40">
        <v>2015</v>
      </c>
      <c r="AM62" s="162"/>
      <c r="AN62" s="53"/>
      <c r="AO62" s="324">
        <f t="shared" si="55"/>
        <v>1</v>
      </c>
      <c r="AP62" s="256" t="str">
        <f t="shared" si="56"/>
        <v>/</v>
      </c>
      <c r="AQ62" s="87">
        <f t="shared" si="57"/>
        <v>8</v>
      </c>
      <c r="AR62" s="47">
        <f t="shared" si="58"/>
        <v>4.4000000000000004</v>
      </c>
      <c r="AS62" s="413"/>
      <c r="AT62" s="48" t="s">
        <v>342</v>
      </c>
      <c r="AU62" s="484" t="s">
        <v>360</v>
      </c>
      <c r="AV62" s="82" t="s">
        <v>342</v>
      </c>
      <c r="AW62" s="484" t="s">
        <v>360</v>
      </c>
      <c r="AX62" s="204">
        <v>2021</v>
      </c>
      <c r="AY62" s="91"/>
      <c r="AZ62" s="266" t="s">
        <v>639</v>
      </c>
      <c r="BA62" s="480"/>
      <c r="BB62" s="51">
        <f t="shared" si="59"/>
        <v>3</v>
      </c>
      <c r="BC62" s="328">
        <f t="shared" si="60"/>
        <v>-24253</v>
      </c>
      <c r="BD62" s="280">
        <f>VLOOKUP(Y62,'Du lieu lien quan'!$C$1:$F$60,3,0)</f>
        <v>4.4000000000000004</v>
      </c>
      <c r="BE62" s="280">
        <f>VLOOKUP(Y62,'Du lieu lien quan'!$C$1:$F$60,4,0)</f>
        <v>0.34</v>
      </c>
      <c r="BF62" s="57" t="str">
        <f t="shared" si="61"/>
        <v>PCTN</v>
      </c>
      <c r="BG62" s="58">
        <v>15</v>
      </c>
      <c r="BH62" s="424" t="s">
        <v>333</v>
      </c>
      <c r="BI62" s="60" t="s">
        <v>342</v>
      </c>
      <c r="BJ62" s="489" t="s">
        <v>360</v>
      </c>
      <c r="BK62" s="422">
        <v>10</v>
      </c>
      <c r="BL62" s="489" t="s">
        <v>360</v>
      </c>
      <c r="BM62" s="40">
        <v>2021</v>
      </c>
      <c r="BN62" s="162"/>
      <c r="BO62" s="62"/>
      <c r="BP62" s="59">
        <f t="shared" si="62"/>
        <v>16</v>
      </c>
      <c r="BQ62" s="429" t="s">
        <v>333</v>
      </c>
      <c r="BR62" s="60" t="s">
        <v>342</v>
      </c>
      <c r="BS62" s="484" t="s">
        <v>360</v>
      </c>
      <c r="BT62" s="420">
        <v>10</v>
      </c>
      <c r="BU62" s="484" t="s">
        <v>360</v>
      </c>
      <c r="BV62" s="40">
        <v>2022</v>
      </c>
      <c r="BW62" s="61"/>
      <c r="BX62" s="161"/>
      <c r="BY62" s="329">
        <f t="shared" si="63"/>
        <v>-24274</v>
      </c>
      <c r="BZ62" s="57" t="str">
        <f t="shared" si="95"/>
        <v>- - -</v>
      </c>
      <c r="CA62" s="392" t="str">
        <f t="shared" si="65"/>
        <v>Chánh Văn phòng Học viện, Trưởng Ban Tổ chức - Cán bộ, Trưởng Khoa Quản lý nhà nước về Xã hội</v>
      </c>
      <c r="CB62" s="63" t="str">
        <f t="shared" si="66"/>
        <v>A</v>
      </c>
      <c r="CC62" s="41" t="str">
        <f t="shared" si="67"/>
        <v>=&gt; s</v>
      </c>
      <c r="CD62" s="52">
        <f t="shared" si="68"/>
        <v>24277</v>
      </c>
      <c r="CE62" s="35" t="str">
        <f t="shared" si="69"/>
        <v>---</v>
      </c>
      <c r="CF62" s="35"/>
      <c r="CG62" s="379"/>
      <c r="CH62" s="35"/>
      <c r="CI62" s="135"/>
      <c r="CJ62" s="35" t="str">
        <f t="shared" si="70"/>
        <v>- - -</v>
      </c>
      <c r="CK62" s="55" t="str">
        <f t="shared" si="71"/>
        <v>- - -</v>
      </c>
      <c r="CL62" s="65"/>
      <c r="CM62" s="66"/>
      <c r="CN62" s="65"/>
      <c r="CO62" s="84"/>
      <c r="CP62" s="55" t="str">
        <f t="shared" si="72"/>
        <v>- - -</v>
      </c>
      <c r="CQ62" s="65"/>
      <c r="CR62" s="66"/>
      <c r="CS62" s="65"/>
      <c r="CT62" s="84"/>
      <c r="CU62" s="69" t="str">
        <f t="shared" si="73"/>
        <v>---</v>
      </c>
      <c r="CV62" s="70" t="str">
        <f t="shared" si="74"/>
        <v>/-/ /-/</v>
      </c>
      <c r="CW62" s="67">
        <f t="shared" si="75"/>
        <v>6</v>
      </c>
      <c r="CX62" s="68">
        <f t="shared" si="76"/>
        <v>2038</v>
      </c>
      <c r="CY62" s="67">
        <f t="shared" si="77"/>
        <v>3</v>
      </c>
      <c r="CZ62" s="68">
        <f t="shared" si="78"/>
        <v>2038</v>
      </c>
      <c r="DA62" s="67">
        <f t="shared" si="79"/>
        <v>12</v>
      </c>
      <c r="DB62" s="68">
        <f t="shared" si="80"/>
        <v>2037</v>
      </c>
      <c r="DC62" s="71" t="str">
        <f t="shared" si="81"/>
        <v>- - -</v>
      </c>
      <c r="DD62" s="72" t="str">
        <f t="shared" si="82"/>
        <v>. .</v>
      </c>
      <c r="DE62" s="72"/>
      <c r="DF62" s="52">
        <f t="shared" si="83"/>
        <v>660</v>
      </c>
      <c r="DG62" s="52">
        <f t="shared" si="84"/>
        <v>-23789</v>
      </c>
      <c r="DH62" s="52">
        <f t="shared" si="85"/>
        <v>-1983</v>
      </c>
      <c r="DI62" s="52" t="str">
        <f t="shared" si="86"/>
        <v>Nữ dưới 30</v>
      </c>
      <c r="DJ62" s="52"/>
      <c r="DK62" s="52"/>
      <c r="DL62" s="57" t="str">
        <f t="shared" si="87"/>
        <v>Đến 30</v>
      </c>
      <c r="DM62" s="183" t="str">
        <f t="shared" si="88"/>
        <v>TD</v>
      </c>
      <c r="DN62" s="182">
        <v>2012</v>
      </c>
      <c r="DO62" s="35"/>
      <c r="DP62" s="182"/>
      <c r="DQ62" s="36"/>
      <c r="DR62" s="84"/>
      <c r="DS62" s="85"/>
      <c r="DT62" s="86"/>
      <c r="DU62" s="76"/>
      <c r="DV62" s="91"/>
      <c r="DW62" s="37" t="s">
        <v>43</v>
      </c>
      <c r="DX62" s="391" t="s">
        <v>122</v>
      </c>
      <c r="DY62" s="37" t="s">
        <v>43</v>
      </c>
      <c r="DZ62" s="48" t="s">
        <v>342</v>
      </c>
      <c r="EA62" s="49" t="s">
        <v>360</v>
      </c>
      <c r="EB62" s="49" t="s">
        <v>372</v>
      </c>
      <c r="EC62" s="49" t="s">
        <v>360</v>
      </c>
      <c r="ED62" s="77">
        <v>2012</v>
      </c>
      <c r="EE62" s="49">
        <f t="shared" si="93"/>
        <v>0</v>
      </c>
      <c r="EF62" s="78" t="str">
        <f t="shared" si="94"/>
        <v>- - -</v>
      </c>
      <c r="EG62" s="48" t="s">
        <v>342</v>
      </c>
      <c r="EH62" s="49" t="s">
        <v>360</v>
      </c>
      <c r="EI62" s="49" t="s">
        <v>372</v>
      </c>
      <c r="EJ62" s="49" t="s">
        <v>360</v>
      </c>
      <c r="EK62" s="77">
        <v>2012</v>
      </c>
      <c r="EL62" s="35"/>
      <c r="EM62" s="55">
        <f t="shared" si="89"/>
        <v>3.74</v>
      </c>
      <c r="EN62" s="79" t="str">
        <f t="shared" si="90"/>
        <v>---</v>
      </c>
      <c r="EO62" s="91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</row>
    <row r="63" spans="1:174" s="80" customFormat="1" ht="11.25" customHeight="1" x14ac:dyDescent="0.2">
      <c r="A63" s="101">
        <v>296</v>
      </c>
      <c r="B63" s="517">
        <v>11</v>
      </c>
      <c r="C63" s="35"/>
      <c r="D63" s="35" t="str">
        <f t="shared" si="48"/>
        <v>Ông</v>
      </c>
      <c r="E63" s="40" t="s">
        <v>44</v>
      </c>
      <c r="F63" s="35" t="s">
        <v>379</v>
      </c>
      <c r="G63" s="64" t="s">
        <v>342</v>
      </c>
      <c r="H63" s="620" t="s">
        <v>360</v>
      </c>
      <c r="I63" s="64" t="s">
        <v>349</v>
      </c>
      <c r="J63" s="620" t="s">
        <v>360</v>
      </c>
      <c r="K63" s="40" t="s">
        <v>311</v>
      </c>
      <c r="L63" s="193" t="s">
        <v>452</v>
      </c>
      <c r="M63" s="652" t="str">
        <f t="shared" si="49"/>
        <v>VC</v>
      </c>
      <c r="N63" s="199"/>
      <c r="O63" s="621" t="e">
        <f t="shared" si="50"/>
        <v>#N/A</v>
      </c>
      <c r="P63" s="40"/>
      <c r="Q63" s="371" t="e">
        <f>VLOOKUP(P63,'Du lieu lien quan'!$C$2:$H$115,2,0)</f>
        <v>#N/A</v>
      </c>
      <c r="R63" s="40" t="s">
        <v>385</v>
      </c>
      <c r="S63" s="40" t="s">
        <v>122</v>
      </c>
      <c r="T63" s="38" t="str">
        <f>VLOOKUP(Y63,'Du lieu lien quan'!$C$2:$H$60,5,0)</f>
        <v>A2</v>
      </c>
      <c r="U63" s="39" t="str">
        <f>VLOOKUP(Y63,'Du lieu lien quan'!$C$2:$H$60,6,0)</f>
        <v>A2.1</v>
      </c>
      <c r="V63" s="663" t="s">
        <v>424</v>
      </c>
      <c r="W63" s="370" t="str">
        <f t="shared" si="51"/>
        <v>Giảng viên chính (hạng II)</v>
      </c>
      <c r="X63" s="373" t="str">
        <f t="shared" si="52"/>
        <v>V.07.01.02</v>
      </c>
      <c r="Y63" s="397" t="s">
        <v>431</v>
      </c>
      <c r="Z63" s="397" t="str">
        <f>VLOOKUP(Y63,'Du lieu lien quan'!$C$1:$H$133,2,0)</f>
        <v>V.07.01.02</v>
      </c>
      <c r="AA63" s="52" t="str">
        <f t="shared" si="53"/>
        <v>Lương</v>
      </c>
      <c r="AB63" s="175">
        <v>0</v>
      </c>
      <c r="AC63" s="495" t="str">
        <f t="shared" si="91"/>
        <v>/</v>
      </c>
      <c r="AD63" s="208">
        <f t="shared" si="92"/>
        <v>8</v>
      </c>
      <c r="AE63" s="44">
        <f t="shared" si="54"/>
        <v>4.0600000000000005</v>
      </c>
      <c r="AF63" s="409"/>
      <c r="AG63" s="109"/>
      <c r="AH63" s="485"/>
      <c r="AI63" s="493" t="s">
        <v>360</v>
      </c>
      <c r="AJ63" s="44"/>
      <c r="AK63" s="493" t="s">
        <v>360</v>
      </c>
      <c r="AL63" s="623"/>
      <c r="AM63" s="162"/>
      <c r="AN63" s="53"/>
      <c r="AO63" s="324">
        <f t="shared" si="55"/>
        <v>1</v>
      </c>
      <c r="AP63" s="256" t="str">
        <f t="shared" si="56"/>
        <v>/</v>
      </c>
      <c r="AQ63" s="87">
        <f t="shared" si="57"/>
        <v>8</v>
      </c>
      <c r="AR63" s="47">
        <f t="shared" si="58"/>
        <v>4.4000000000000004</v>
      </c>
      <c r="AS63" s="413"/>
      <c r="AT63" s="48" t="s">
        <v>342</v>
      </c>
      <c r="AU63" s="484" t="s">
        <v>360</v>
      </c>
      <c r="AV63" s="82" t="s">
        <v>349</v>
      </c>
      <c r="AW63" s="484" t="s">
        <v>360</v>
      </c>
      <c r="AX63" s="273">
        <v>2020</v>
      </c>
      <c r="AY63" s="91"/>
      <c r="AZ63" s="469" t="s">
        <v>639</v>
      </c>
      <c r="BA63" s="480"/>
      <c r="BB63" s="51">
        <f t="shared" si="59"/>
        <v>3</v>
      </c>
      <c r="BC63" s="328">
        <f t="shared" si="60"/>
        <v>-24249</v>
      </c>
      <c r="BD63" s="280">
        <f>VLOOKUP(Y63,'Du lieu lien quan'!$C$1:$F$60,3,0)</f>
        <v>4.4000000000000004</v>
      </c>
      <c r="BE63" s="280">
        <f>VLOOKUP(Y63,'Du lieu lien quan'!$C$1:$F$60,4,0)</f>
        <v>0.34</v>
      </c>
      <c r="BF63" s="57" t="str">
        <f t="shared" si="61"/>
        <v>PCTN</v>
      </c>
      <c r="BG63" s="58">
        <v>20</v>
      </c>
      <c r="BH63" s="424" t="s">
        <v>333</v>
      </c>
      <c r="BI63" s="60" t="s">
        <v>342</v>
      </c>
      <c r="BJ63" s="489" t="s">
        <v>360</v>
      </c>
      <c r="BK63" s="422">
        <v>10</v>
      </c>
      <c r="BL63" s="489" t="s">
        <v>360</v>
      </c>
      <c r="BM63" s="40">
        <v>2021</v>
      </c>
      <c r="BN63" s="162"/>
      <c r="BO63" s="62"/>
      <c r="BP63" s="59">
        <f t="shared" si="62"/>
        <v>21</v>
      </c>
      <c r="BQ63" s="429" t="s">
        <v>333</v>
      </c>
      <c r="BR63" s="60" t="s">
        <v>342</v>
      </c>
      <c r="BS63" s="484" t="s">
        <v>360</v>
      </c>
      <c r="BT63" s="420">
        <v>10</v>
      </c>
      <c r="BU63" s="484" t="s">
        <v>360</v>
      </c>
      <c r="BV63" s="40">
        <v>2022</v>
      </c>
      <c r="BW63" s="61"/>
      <c r="BX63" s="161"/>
      <c r="BY63" s="329">
        <f t="shared" si="63"/>
        <v>-24274</v>
      </c>
      <c r="BZ63" s="57" t="str">
        <f t="shared" si="95"/>
        <v>- - -</v>
      </c>
      <c r="CA63" s="392" t="str">
        <f t="shared" si="65"/>
        <v>Chánh Văn phòng Học viện, Trưởng Ban Tổ chức - Cán bộ, Trưởng Khoa Quản lý nhà nước về Xã hội</v>
      </c>
      <c r="CB63" s="63" t="str">
        <f t="shared" si="66"/>
        <v>A</v>
      </c>
      <c r="CC63" s="41" t="str">
        <f t="shared" si="67"/>
        <v>=&gt; s</v>
      </c>
      <c r="CD63" s="52">
        <f t="shared" si="68"/>
        <v>24273</v>
      </c>
      <c r="CE63" s="35" t="str">
        <f t="shared" si="69"/>
        <v>---</v>
      </c>
      <c r="CF63" s="35"/>
      <c r="CG63" s="379"/>
      <c r="CH63" s="35"/>
      <c r="CI63" s="135"/>
      <c r="CJ63" s="35" t="str">
        <f t="shared" si="70"/>
        <v>- - -</v>
      </c>
      <c r="CK63" s="55" t="str">
        <f t="shared" si="71"/>
        <v>- - -</v>
      </c>
      <c r="CL63" s="65"/>
      <c r="CM63" s="66"/>
      <c r="CN63" s="65"/>
      <c r="CO63" s="84"/>
      <c r="CP63" s="55" t="str">
        <f t="shared" si="72"/>
        <v>- - -</v>
      </c>
      <c r="CQ63" s="65"/>
      <c r="CR63" s="36"/>
      <c r="CS63" s="65"/>
      <c r="CT63" s="84"/>
      <c r="CU63" s="69" t="str">
        <f t="shared" si="73"/>
        <v>---</v>
      </c>
      <c r="CV63" s="70" t="str">
        <f t="shared" si="74"/>
        <v>/-/ /-/</v>
      </c>
      <c r="CW63" s="67">
        <f t="shared" si="75"/>
        <v>10</v>
      </c>
      <c r="CX63" s="68">
        <f t="shared" si="76"/>
        <v>2037</v>
      </c>
      <c r="CY63" s="67">
        <f t="shared" si="77"/>
        <v>7</v>
      </c>
      <c r="CZ63" s="68">
        <f t="shared" si="78"/>
        <v>2037</v>
      </c>
      <c r="DA63" s="67">
        <f t="shared" si="79"/>
        <v>4</v>
      </c>
      <c r="DB63" s="68">
        <f t="shared" si="80"/>
        <v>2037</v>
      </c>
      <c r="DC63" s="71" t="str">
        <f t="shared" si="81"/>
        <v>- - -</v>
      </c>
      <c r="DD63" s="72" t="str">
        <f t="shared" si="82"/>
        <v>. .</v>
      </c>
      <c r="DE63" s="72"/>
      <c r="DF63" s="52">
        <f t="shared" si="83"/>
        <v>720</v>
      </c>
      <c r="DG63" s="52">
        <f t="shared" si="84"/>
        <v>-23721</v>
      </c>
      <c r="DH63" s="52">
        <f t="shared" si="85"/>
        <v>-1977</v>
      </c>
      <c r="DI63" s="52" t="str">
        <f t="shared" si="86"/>
        <v>Nam dưới 35</v>
      </c>
      <c r="DJ63" s="52"/>
      <c r="DK63" s="52"/>
      <c r="DL63" s="57" t="str">
        <f t="shared" si="87"/>
        <v>Đến 30</v>
      </c>
      <c r="DM63" s="183" t="str">
        <f t="shared" si="88"/>
        <v>--</v>
      </c>
      <c r="DN63" s="182"/>
      <c r="DO63" s="35"/>
      <c r="DP63" s="182"/>
      <c r="DQ63" s="36"/>
      <c r="DR63" s="84"/>
      <c r="DS63" s="85"/>
      <c r="DT63" s="86"/>
      <c r="DU63" s="76"/>
      <c r="DV63" s="91"/>
      <c r="DW63" s="37" t="s">
        <v>385</v>
      </c>
      <c r="DX63" s="391" t="s">
        <v>122</v>
      </c>
      <c r="DY63" s="37" t="s">
        <v>385</v>
      </c>
      <c r="DZ63" s="48" t="s">
        <v>342</v>
      </c>
      <c r="EA63" s="49" t="s">
        <v>360</v>
      </c>
      <c r="EB63" s="49" t="s">
        <v>349</v>
      </c>
      <c r="EC63" s="49" t="s">
        <v>360</v>
      </c>
      <c r="ED63" s="77" t="s">
        <v>364</v>
      </c>
      <c r="EE63" s="49">
        <f t="shared" si="93"/>
        <v>0</v>
      </c>
      <c r="EF63" s="78" t="str">
        <f t="shared" si="94"/>
        <v>- - -</v>
      </c>
      <c r="EG63" s="48" t="s">
        <v>342</v>
      </c>
      <c r="EH63" s="49" t="s">
        <v>360</v>
      </c>
      <c r="EI63" s="49" t="s">
        <v>349</v>
      </c>
      <c r="EJ63" s="49" t="s">
        <v>360</v>
      </c>
      <c r="EK63" s="77" t="s">
        <v>364</v>
      </c>
      <c r="EL63" s="35"/>
      <c r="EM63" s="55">
        <f t="shared" si="89"/>
        <v>3.74</v>
      </c>
      <c r="EN63" s="79" t="str">
        <f t="shared" si="90"/>
        <v>---</v>
      </c>
      <c r="EO63" s="91"/>
      <c r="FN63" s="319"/>
      <c r="FO63" s="319"/>
      <c r="FP63" s="319"/>
      <c r="FQ63" s="319"/>
      <c r="FR63" s="319"/>
    </row>
    <row r="64" spans="1:174" s="136" customFormat="1" ht="11.25" customHeight="1" x14ac:dyDescent="0.2">
      <c r="A64" s="101">
        <v>308</v>
      </c>
      <c r="B64" s="371">
        <v>12</v>
      </c>
      <c r="C64" s="35"/>
      <c r="D64" s="35" t="str">
        <f t="shared" si="48"/>
        <v>Bà</v>
      </c>
      <c r="E64" s="40" t="s">
        <v>25</v>
      </c>
      <c r="F64" s="35" t="s">
        <v>381</v>
      </c>
      <c r="G64" s="64" t="s">
        <v>374</v>
      </c>
      <c r="H64" s="620" t="s">
        <v>360</v>
      </c>
      <c r="I64" s="64" t="s">
        <v>343</v>
      </c>
      <c r="J64" s="620" t="s">
        <v>360</v>
      </c>
      <c r="K64" s="40">
        <v>1977</v>
      </c>
      <c r="L64" s="193" t="s">
        <v>452</v>
      </c>
      <c r="M64" s="652" t="str">
        <f t="shared" si="49"/>
        <v>VC</v>
      </c>
      <c r="N64" s="199"/>
      <c r="O64" s="621" t="e">
        <f t="shared" si="50"/>
        <v>#N/A</v>
      </c>
      <c r="P64" s="40"/>
      <c r="Q64" s="371" t="e">
        <f>VLOOKUP(P64,'Du lieu lien quan'!$C$2:$H$115,2,0)</f>
        <v>#N/A</v>
      </c>
      <c r="R64" s="40" t="s">
        <v>461</v>
      </c>
      <c r="S64" s="40" t="s">
        <v>122</v>
      </c>
      <c r="T64" s="38" t="str">
        <f>VLOOKUP(Y64,'Du lieu lien quan'!$C$2:$H$60,5,0)</f>
        <v>A2</v>
      </c>
      <c r="U64" s="39" t="str">
        <f>VLOOKUP(Y64,'Du lieu lien quan'!$C$2:$H$60,6,0)</f>
        <v>A2.1</v>
      </c>
      <c r="V64" s="663" t="s">
        <v>424</v>
      </c>
      <c r="W64" s="370" t="str">
        <f t="shared" si="51"/>
        <v>Giảng viên chính (hạng II)</v>
      </c>
      <c r="X64" s="373" t="str">
        <f t="shared" si="52"/>
        <v>V.07.01.02</v>
      </c>
      <c r="Y64" s="397" t="s">
        <v>431</v>
      </c>
      <c r="Z64" s="397" t="str">
        <f>VLOOKUP(Y64,'Du lieu lien quan'!$C$1:$H$133,2,0)</f>
        <v>V.07.01.02</v>
      </c>
      <c r="AA64" s="52" t="str">
        <f t="shared" si="53"/>
        <v>Lương</v>
      </c>
      <c r="AB64" s="175">
        <v>0</v>
      </c>
      <c r="AC64" s="495" t="str">
        <f t="shared" si="91"/>
        <v>/</v>
      </c>
      <c r="AD64" s="208">
        <f t="shared" si="92"/>
        <v>8</v>
      </c>
      <c r="AE64" s="44">
        <f t="shared" si="54"/>
        <v>4.0600000000000005</v>
      </c>
      <c r="AF64" s="409"/>
      <c r="AG64" s="109"/>
      <c r="AH64" s="485" t="s">
        <v>342</v>
      </c>
      <c r="AI64" s="493" t="s">
        <v>360</v>
      </c>
      <c r="AJ64" s="44" t="s">
        <v>344</v>
      </c>
      <c r="AK64" s="493" t="s">
        <v>360</v>
      </c>
      <c r="AL64" s="623">
        <v>2017</v>
      </c>
      <c r="AM64" s="162"/>
      <c r="AN64" s="53"/>
      <c r="AO64" s="324">
        <f t="shared" si="55"/>
        <v>1</v>
      </c>
      <c r="AP64" s="256" t="str">
        <f t="shared" si="56"/>
        <v>/</v>
      </c>
      <c r="AQ64" s="87">
        <f t="shared" si="57"/>
        <v>8</v>
      </c>
      <c r="AR64" s="47">
        <f t="shared" si="58"/>
        <v>4.4000000000000004</v>
      </c>
      <c r="AS64" s="413"/>
      <c r="AT64" s="48" t="s">
        <v>342</v>
      </c>
      <c r="AU64" s="484" t="s">
        <v>360</v>
      </c>
      <c r="AV64" s="82" t="s">
        <v>342</v>
      </c>
      <c r="AW64" s="484" t="s">
        <v>360</v>
      </c>
      <c r="AX64" s="40">
        <v>2021</v>
      </c>
      <c r="AY64" s="91"/>
      <c r="AZ64" s="266" t="s">
        <v>640</v>
      </c>
      <c r="BA64" s="480"/>
      <c r="BB64" s="51">
        <f t="shared" si="59"/>
        <v>3</v>
      </c>
      <c r="BC64" s="328">
        <f t="shared" si="60"/>
        <v>-24253</v>
      </c>
      <c r="BD64" s="280">
        <f>VLOOKUP(Y64,'Du lieu lien quan'!$C$1:$F$60,3,0)</f>
        <v>4.4000000000000004</v>
      </c>
      <c r="BE64" s="280">
        <f>VLOOKUP(Y64,'Du lieu lien quan'!$C$1:$F$60,4,0)</f>
        <v>0.34</v>
      </c>
      <c r="BF64" s="57" t="str">
        <f t="shared" si="61"/>
        <v>PCTN</v>
      </c>
      <c r="BG64" s="58">
        <v>16</v>
      </c>
      <c r="BH64" s="424" t="s">
        <v>333</v>
      </c>
      <c r="BI64" s="60" t="s">
        <v>342</v>
      </c>
      <c r="BJ64" s="489" t="s">
        <v>360</v>
      </c>
      <c r="BK64" s="422">
        <v>10</v>
      </c>
      <c r="BL64" s="489" t="s">
        <v>360</v>
      </c>
      <c r="BM64" s="40">
        <v>2021</v>
      </c>
      <c r="BN64" s="162"/>
      <c r="BO64" s="62"/>
      <c r="BP64" s="59">
        <f t="shared" si="62"/>
        <v>17</v>
      </c>
      <c r="BQ64" s="429" t="s">
        <v>333</v>
      </c>
      <c r="BR64" s="60" t="s">
        <v>342</v>
      </c>
      <c r="BS64" s="484" t="s">
        <v>360</v>
      </c>
      <c r="BT64" s="420">
        <v>10</v>
      </c>
      <c r="BU64" s="484" t="s">
        <v>360</v>
      </c>
      <c r="BV64" s="40">
        <v>2022</v>
      </c>
      <c r="BW64" s="61"/>
      <c r="BX64" s="161"/>
      <c r="BY64" s="329">
        <f t="shared" si="63"/>
        <v>-24274</v>
      </c>
      <c r="BZ64" s="57" t="str">
        <f t="shared" si="95"/>
        <v>- - -</v>
      </c>
      <c r="CA64" s="392" t="str">
        <f t="shared" si="65"/>
        <v>Chánh Văn phòng Học viện, Trưởng Ban Tổ chức - Cán bộ, Trưởng Khoa Quản lý nhà nước về Xã hội</v>
      </c>
      <c r="CB64" s="63" t="str">
        <f t="shared" si="66"/>
        <v>A</v>
      </c>
      <c r="CC64" s="41" t="str">
        <f t="shared" si="67"/>
        <v>=&gt; s</v>
      </c>
      <c r="CD64" s="52">
        <f t="shared" si="68"/>
        <v>24277</v>
      </c>
      <c r="CE64" s="35" t="str">
        <f t="shared" si="69"/>
        <v>---</v>
      </c>
      <c r="CF64" s="35"/>
      <c r="CG64" s="373"/>
      <c r="CH64" s="35"/>
      <c r="CI64" s="135"/>
      <c r="CJ64" s="35" t="str">
        <f t="shared" si="70"/>
        <v>- - -</v>
      </c>
      <c r="CK64" s="55" t="str">
        <f t="shared" si="71"/>
        <v>- - -</v>
      </c>
      <c r="CL64" s="65"/>
      <c r="CM64" s="66"/>
      <c r="CN64" s="65"/>
      <c r="CO64" s="84"/>
      <c r="CP64" s="55" t="str">
        <f t="shared" si="72"/>
        <v>- - -</v>
      </c>
      <c r="CQ64" s="65"/>
      <c r="CR64" s="182"/>
      <c r="CS64" s="65"/>
      <c r="CT64" s="84"/>
      <c r="CU64" s="69" t="str">
        <f t="shared" si="73"/>
        <v>---</v>
      </c>
      <c r="CV64" s="70" t="str">
        <f t="shared" si="74"/>
        <v>/-/ /-/</v>
      </c>
      <c r="CW64" s="67">
        <f t="shared" si="75"/>
        <v>3</v>
      </c>
      <c r="CX64" s="68">
        <f t="shared" si="76"/>
        <v>2032</v>
      </c>
      <c r="CY64" s="67">
        <f t="shared" si="77"/>
        <v>12</v>
      </c>
      <c r="CZ64" s="68">
        <f t="shared" si="78"/>
        <v>2031</v>
      </c>
      <c r="DA64" s="67">
        <f t="shared" si="79"/>
        <v>9</v>
      </c>
      <c r="DB64" s="68">
        <f t="shared" si="80"/>
        <v>2031</v>
      </c>
      <c r="DC64" s="71" t="str">
        <f t="shared" si="81"/>
        <v>- - -</v>
      </c>
      <c r="DD64" s="72" t="str">
        <f t="shared" si="82"/>
        <v>. .</v>
      </c>
      <c r="DE64" s="72"/>
      <c r="DF64" s="52">
        <f t="shared" si="83"/>
        <v>660</v>
      </c>
      <c r="DG64" s="52">
        <f t="shared" si="84"/>
        <v>-23714</v>
      </c>
      <c r="DH64" s="52">
        <f t="shared" si="85"/>
        <v>-1977</v>
      </c>
      <c r="DI64" s="52" t="str">
        <f t="shared" si="86"/>
        <v>Nữ dưới 30</v>
      </c>
      <c r="DJ64" s="52"/>
      <c r="DK64" s="52"/>
      <c r="DL64" s="57" t="str">
        <f t="shared" si="87"/>
        <v>Đến 30</v>
      </c>
      <c r="DM64" s="65" t="str">
        <f t="shared" si="88"/>
        <v>--</v>
      </c>
      <c r="DN64" s="36"/>
      <c r="DO64" s="35"/>
      <c r="DP64" s="73"/>
      <c r="DQ64" s="36"/>
      <c r="DR64" s="84"/>
      <c r="DS64" s="85"/>
      <c r="DT64" s="86"/>
      <c r="DU64" s="76"/>
      <c r="DV64" s="40"/>
      <c r="DW64" s="885" t="s">
        <v>461</v>
      </c>
      <c r="DX64" s="391" t="s">
        <v>137</v>
      </c>
      <c r="DY64" s="37"/>
      <c r="DZ64" s="48"/>
      <c r="EA64" s="49" t="s">
        <v>360</v>
      </c>
      <c r="EB64" s="49"/>
      <c r="EC64" s="49" t="s">
        <v>360</v>
      </c>
      <c r="ED64" s="77"/>
      <c r="EE64" s="49"/>
      <c r="EF64" s="78"/>
      <c r="EG64" s="48"/>
      <c r="EH64" s="49" t="s">
        <v>360</v>
      </c>
      <c r="EI64" s="49"/>
      <c r="EJ64" s="49" t="s">
        <v>360</v>
      </c>
      <c r="EK64" s="77"/>
      <c r="EL64" s="35"/>
      <c r="EM64" s="55">
        <f t="shared" si="89"/>
        <v>3.74</v>
      </c>
      <c r="EN64" s="79" t="str">
        <f t="shared" si="90"/>
        <v>---</v>
      </c>
      <c r="EO64" s="91"/>
      <c r="EP64" s="80"/>
      <c r="EQ64" s="80"/>
      <c r="ER64" s="80"/>
      <c r="ES64" s="80"/>
      <c r="ET64" s="80"/>
      <c r="EU64" s="80"/>
      <c r="EV64" s="80"/>
      <c r="EW64" s="80"/>
      <c r="EX64" s="80"/>
      <c r="EY64" s="80"/>
      <c r="EZ64" s="80"/>
      <c r="FA64" s="80"/>
      <c r="FB64" s="80"/>
      <c r="FC64" s="80"/>
      <c r="FD64" s="80"/>
      <c r="FE64" s="80"/>
      <c r="FF64" s="80"/>
      <c r="FG64" s="80"/>
      <c r="FH64" s="80"/>
      <c r="FI64" s="80"/>
      <c r="FJ64" s="80"/>
      <c r="FK64" s="80"/>
      <c r="FL64" s="80"/>
      <c r="FM64" s="80"/>
      <c r="FN64" s="680"/>
      <c r="FO64" s="680"/>
      <c r="FP64" s="680"/>
      <c r="FQ64" s="680"/>
      <c r="FR64" s="680"/>
    </row>
    <row r="65" spans="1:174" s="80" customFormat="1" ht="11.25" customHeight="1" x14ac:dyDescent="0.2">
      <c r="A65" s="101">
        <v>311</v>
      </c>
      <c r="B65" s="517">
        <v>13</v>
      </c>
      <c r="C65" s="272" t="s">
        <v>388</v>
      </c>
      <c r="D65" s="272" t="str">
        <f t="shared" si="48"/>
        <v>Ông</v>
      </c>
      <c r="E65" s="320" t="s">
        <v>470</v>
      </c>
      <c r="F65" s="272" t="s">
        <v>379</v>
      </c>
      <c r="G65" s="637" t="s">
        <v>332</v>
      </c>
      <c r="H65" s="638" t="s">
        <v>360</v>
      </c>
      <c r="I65" s="637" t="s">
        <v>350</v>
      </c>
      <c r="J65" s="638" t="s">
        <v>360</v>
      </c>
      <c r="K65" s="273">
        <v>1977</v>
      </c>
      <c r="L65" s="284" t="s">
        <v>452</v>
      </c>
      <c r="M65" s="277" t="str">
        <f t="shared" si="49"/>
        <v>VC</v>
      </c>
      <c r="N65" s="501"/>
      <c r="O65" s="639" t="str">
        <f t="shared" si="50"/>
        <v>CVụ</v>
      </c>
      <c r="P65" s="273" t="s">
        <v>256</v>
      </c>
      <c r="Q65" s="399">
        <f>VLOOKUP(P65,'Du lieu lien quan'!$C$2:$H$115,2,0)</f>
        <v>0.4</v>
      </c>
      <c r="R65" s="313" t="s">
        <v>462</v>
      </c>
      <c r="S65" s="273" t="s">
        <v>122</v>
      </c>
      <c r="T65" s="275" t="str">
        <f>VLOOKUP(Y65,'Du lieu lien quan'!$C$2:$H$60,5,0)</f>
        <v>A2</v>
      </c>
      <c r="U65" s="276" t="str">
        <f>VLOOKUP(Y65,'Du lieu lien quan'!$C$2:$H$60,6,0)</f>
        <v>A2.1</v>
      </c>
      <c r="V65" s="300" t="s">
        <v>424</v>
      </c>
      <c r="W65" s="401" t="str">
        <f t="shared" si="51"/>
        <v>Giảng viên chính (hạng II)</v>
      </c>
      <c r="X65" s="300" t="str">
        <f t="shared" si="52"/>
        <v>V.07.01.02</v>
      </c>
      <c r="Y65" s="406" t="s">
        <v>431</v>
      </c>
      <c r="Z65" s="402" t="str">
        <f>VLOOKUP(Y65,'Du lieu lien quan'!$C$1:$H$133,2,0)</f>
        <v>V.07.01.02</v>
      </c>
      <c r="AA65" s="277" t="str">
        <f t="shared" si="53"/>
        <v>Lương</v>
      </c>
      <c r="AB65" s="2279">
        <v>1</v>
      </c>
      <c r="AC65" s="495" t="s">
        <v>360</v>
      </c>
      <c r="AD65" s="208">
        <v>8</v>
      </c>
      <c r="AE65" s="44">
        <f t="shared" si="54"/>
        <v>4.4000000000000004</v>
      </c>
      <c r="AF65" s="467"/>
      <c r="AG65" s="282"/>
      <c r="AH65" s="502" t="s">
        <v>342</v>
      </c>
      <c r="AI65" s="493" t="s">
        <v>360</v>
      </c>
      <c r="AJ65" s="282" t="s">
        <v>344</v>
      </c>
      <c r="AK65" s="493" t="s">
        <v>360</v>
      </c>
      <c r="AL65" s="40">
        <v>2019</v>
      </c>
      <c r="AM65" s="291"/>
      <c r="AN65" s="292"/>
      <c r="AO65" s="525">
        <f t="shared" si="55"/>
        <v>2</v>
      </c>
      <c r="AP65" s="877" t="str">
        <f t="shared" si="56"/>
        <v>/</v>
      </c>
      <c r="AQ65" s="283">
        <f t="shared" si="57"/>
        <v>8</v>
      </c>
      <c r="AR65" s="877">
        <f t="shared" si="58"/>
        <v>4.74</v>
      </c>
      <c r="AS65" s="414"/>
      <c r="AT65" s="285" t="s">
        <v>342</v>
      </c>
      <c r="AU65" s="488" t="s">
        <v>360</v>
      </c>
      <c r="AV65" s="287" t="s">
        <v>344</v>
      </c>
      <c r="AW65" s="488" t="s">
        <v>360</v>
      </c>
      <c r="AX65" s="40">
        <v>2022</v>
      </c>
      <c r="AY65" s="318"/>
      <c r="AZ65" s="474" t="s">
        <v>639</v>
      </c>
      <c r="BA65" s="481"/>
      <c r="BB65" s="290">
        <f t="shared" si="59"/>
        <v>3</v>
      </c>
      <c r="BC65" s="403">
        <f t="shared" si="60"/>
        <v>-24269</v>
      </c>
      <c r="BD65" s="280">
        <f>VLOOKUP(Y65,'Du lieu lien quan'!$C$1:$F$60,3,0)</f>
        <v>4.4000000000000004</v>
      </c>
      <c r="BE65" s="280">
        <f>VLOOKUP(Y65,'Du lieu lien quan'!$C$1:$F$60,4,0)</f>
        <v>0.34</v>
      </c>
      <c r="BF65" s="293" t="str">
        <f t="shared" si="61"/>
        <v>PCTN</v>
      </c>
      <c r="BG65" s="294">
        <v>17</v>
      </c>
      <c r="BH65" s="425" t="s">
        <v>333</v>
      </c>
      <c r="BI65" s="504" t="s">
        <v>342</v>
      </c>
      <c r="BJ65" s="488" t="s">
        <v>360</v>
      </c>
      <c r="BK65" s="421" t="s">
        <v>372</v>
      </c>
      <c r="BL65" s="488" t="s">
        <v>360</v>
      </c>
      <c r="BM65" s="40">
        <v>2021</v>
      </c>
      <c r="BN65" s="291"/>
      <c r="BO65" s="297"/>
      <c r="BP65" s="295">
        <f t="shared" si="62"/>
        <v>18</v>
      </c>
      <c r="BQ65" s="505" t="s">
        <v>333</v>
      </c>
      <c r="BR65" s="504" t="s">
        <v>342</v>
      </c>
      <c r="BS65" s="484" t="s">
        <v>360</v>
      </c>
      <c r="BT65" s="421" t="s">
        <v>372</v>
      </c>
      <c r="BU65" s="484" t="s">
        <v>360</v>
      </c>
      <c r="BV65" s="40">
        <v>2022</v>
      </c>
      <c r="BW65" s="296"/>
      <c r="BX65" s="161"/>
      <c r="BY65" s="404">
        <f t="shared" si="63"/>
        <v>-24274</v>
      </c>
      <c r="BZ65" s="293" t="str">
        <f t="shared" si="95"/>
        <v>- - -</v>
      </c>
      <c r="CA65" s="273" t="str">
        <f t="shared" si="65"/>
        <v>Chánh Văn phòng Học viện, Trưởng Ban Tổ chức - Cán bộ, Trưởng Khoa Quản lý nhà nước về Xã hội</v>
      </c>
      <c r="CB65" s="298" t="str">
        <f t="shared" si="66"/>
        <v>A</v>
      </c>
      <c r="CC65" s="299" t="str">
        <f t="shared" si="67"/>
        <v>=&gt; s</v>
      </c>
      <c r="CD65" s="277">
        <f t="shared" si="68"/>
        <v>24293</v>
      </c>
      <c r="CE65" s="272" t="str">
        <f t="shared" si="69"/>
        <v>---</v>
      </c>
      <c r="CF65" s="272"/>
      <c r="CG65" s="383"/>
      <c r="CH65" s="272"/>
      <c r="CI65" s="405"/>
      <c r="CJ65" s="272" t="str">
        <f t="shared" si="70"/>
        <v>- - -</v>
      </c>
      <c r="CK65" s="301" t="str">
        <f t="shared" si="71"/>
        <v>- - -</v>
      </c>
      <c r="CL65" s="302"/>
      <c r="CM65" s="303"/>
      <c r="CN65" s="302"/>
      <c r="CO65" s="304"/>
      <c r="CP65" s="301" t="str">
        <f t="shared" si="72"/>
        <v>- - -</v>
      </c>
      <c r="CQ65" s="302"/>
      <c r="CR65" s="511"/>
      <c r="CS65" s="302"/>
      <c r="CT65" s="304"/>
      <c r="CU65" s="305" t="str">
        <f t="shared" si="73"/>
        <v>---</v>
      </c>
      <c r="CV65" s="306" t="str">
        <f t="shared" si="74"/>
        <v>/-/ /-/</v>
      </c>
      <c r="CW65" s="307">
        <f t="shared" si="75"/>
        <v>1</v>
      </c>
      <c r="CX65" s="308">
        <f t="shared" si="76"/>
        <v>2038</v>
      </c>
      <c r="CY65" s="307">
        <f t="shared" si="77"/>
        <v>10</v>
      </c>
      <c r="CZ65" s="308">
        <f t="shared" si="78"/>
        <v>2037</v>
      </c>
      <c r="DA65" s="307">
        <f t="shared" si="79"/>
        <v>7</v>
      </c>
      <c r="DB65" s="308">
        <f t="shared" si="80"/>
        <v>2037</v>
      </c>
      <c r="DC65" s="309" t="str">
        <f t="shared" si="81"/>
        <v>- - -</v>
      </c>
      <c r="DD65" s="310" t="str">
        <f t="shared" si="82"/>
        <v>. .</v>
      </c>
      <c r="DE65" s="310"/>
      <c r="DF65" s="277">
        <f t="shared" si="83"/>
        <v>720</v>
      </c>
      <c r="DG65" s="277">
        <f t="shared" si="84"/>
        <v>-23724</v>
      </c>
      <c r="DH65" s="277">
        <f t="shared" si="85"/>
        <v>-1977</v>
      </c>
      <c r="DI65" s="277" t="str">
        <f t="shared" si="86"/>
        <v>Nam dưới 35</v>
      </c>
      <c r="DJ65" s="277"/>
      <c r="DK65" s="277"/>
      <c r="DL65" s="293" t="str">
        <f t="shared" si="87"/>
        <v>Đến 30</v>
      </c>
      <c r="DM65" s="302" t="str">
        <f t="shared" si="88"/>
        <v>--</v>
      </c>
      <c r="DN65" s="274"/>
      <c r="DO65" s="272"/>
      <c r="DP65" s="311"/>
      <c r="DQ65" s="274"/>
      <c r="DR65" s="304"/>
      <c r="DS65" s="312"/>
      <c r="DT65" s="313"/>
      <c r="DU65" s="314"/>
      <c r="DV65" s="318"/>
      <c r="DW65" s="645" t="s">
        <v>462</v>
      </c>
      <c r="DX65" s="400" t="s">
        <v>137</v>
      </c>
      <c r="DY65" s="321"/>
      <c r="DZ65" s="285"/>
      <c r="EA65" s="287"/>
      <c r="EB65" s="287"/>
      <c r="EC65" s="287"/>
      <c r="ED65" s="315"/>
      <c r="EE65" s="287">
        <f>(DZ65+0)-(EG65+0)</f>
        <v>0</v>
      </c>
      <c r="EF65" s="316" t="str">
        <f>IF(EE65&gt;0,"Sửa","- - -")</f>
        <v>- - -</v>
      </c>
      <c r="EG65" s="285"/>
      <c r="EH65" s="287"/>
      <c r="EI65" s="287"/>
      <c r="EJ65" s="287"/>
      <c r="EK65" s="315"/>
      <c r="EL65" s="272"/>
      <c r="EM65" s="301" t="str">
        <f t="shared" si="89"/>
        <v>- - -</v>
      </c>
      <c r="EN65" s="317" t="str">
        <f t="shared" si="90"/>
        <v>---</v>
      </c>
      <c r="EO65" s="318"/>
      <c r="EP65" s="319"/>
      <c r="EQ65" s="319"/>
      <c r="ER65" s="319"/>
      <c r="ES65" s="319"/>
      <c r="ET65" s="319"/>
      <c r="EU65" s="319"/>
      <c r="EV65" s="319"/>
      <c r="EW65" s="319"/>
      <c r="EX65" s="319"/>
      <c r="EY65" s="319"/>
      <c r="EZ65" s="319"/>
      <c r="FA65" s="319"/>
      <c r="FB65" s="319"/>
      <c r="FC65" s="319"/>
      <c r="FD65" s="319"/>
      <c r="FE65" s="319"/>
      <c r="FF65" s="319"/>
      <c r="FG65" s="319"/>
      <c r="FH65" s="319"/>
      <c r="FI65" s="319"/>
      <c r="FJ65" s="319"/>
      <c r="FK65" s="319"/>
      <c r="FL65" s="319"/>
      <c r="FM65" s="319"/>
      <c r="FN65" s="319"/>
      <c r="FO65" s="319"/>
      <c r="FP65" s="319"/>
      <c r="FQ65" s="319"/>
      <c r="FR65" s="319"/>
    </row>
    <row r="66" spans="1:174" s="80" customFormat="1" ht="11.25" customHeight="1" x14ac:dyDescent="0.2">
      <c r="A66" s="101">
        <v>337</v>
      </c>
      <c r="B66" s="371">
        <v>14</v>
      </c>
      <c r="C66" s="272" t="s">
        <v>388</v>
      </c>
      <c r="D66" s="272" t="str">
        <f t="shared" si="48"/>
        <v>Bà</v>
      </c>
      <c r="E66" s="320" t="s">
        <v>600</v>
      </c>
      <c r="F66" s="272" t="s">
        <v>381</v>
      </c>
      <c r="G66" s="637" t="s">
        <v>17</v>
      </c>
      <c r="H66" s="638" t="s">
        <v>360</v>
      </c>
      <c r="I66" s="637" t="s">
        <v>345</v>
      </c>
      <c r="J66" s="638" t="s">
        <v>360</v>
      </c>
      <c r="K66" s="273">
        <v>1973</v>
      </c>
      <c r="L66" s="284" t="s">
        <v>452</v>
      </c>
      <c r="M66" s="277" t="str">
        <f t="shared" si="49"/>
        <v>VC</v>
      </c>
      <c r="N66" s="501"/>
      <c r="O66" s="639" t="str">
        <f t="shared" si="50"/>
        <v>CVụ</v>
      </c>
      <c r="P66" s="40" t="s">
        <v>255</v>
      </c>
      <c r="Q66" s="399">
        <f>VLOOKUP(P66,'Du lieu lien quan'!$C$2:$H$115,2,0)</f>
        <v>0.6</v>
      </c>
      <c r="R66" s="313" t="s">
        <v>317</v>
      </c>
      <c r="S66" s="2261" t="s">
        <v>130</v>
      </c>
      <c r="T66" s="275" t="str">
        <f>VLOOKUP(Y66,'Du lieu lien quan'!$C$2:$H$60,5,0)</f>
        <v>A2</v>
      </c>
      <c r="U66" s="276" t="str">
        <f>VLOOKUP(Y66,'Du lieu lien quan'!$C$2:$H$60,6,0)</f>
        <v>A2.1</v>
      </c>
      <c r="V66" s="320" t="s">
        <v>424</v>
      </c>
      <c r="W66" s="401" t="str">
        <f t="shared" si="51"/>
        <v>Giảng viên chính (hạng II)</v>
      </c>
      <c r="X66" s="300" t="str">
        <f t="shared" si="52"/>
        <v>V.07.01.02</v>
      </c>
      <c r="Y66" s="406" t="s">
        <v>431</v>
      </c>
      <c r="Z66" s="402" t="str">
        <f>VLOOKUP(Y66,'Du lieu lien quan'!$C$1:$H$133,2,0)</f>
        <v>V.07.01.02</v>
      </c>
      <c r="AA66" s="277" t="str">
        <f t="shared" si="53"/>
        <v>Lương</v>
      </c>
      <c r="AB66" s="2279">
        <v>2</v>
      </c>
      <c r="AC66" s="495" t="str">
        <f>IF(AD66&gt;0,"/")</f>
        <v>/</v>
      </c>
      <c r="AD66" s="43">
        <f>IF(OR(BE66=0.18,BE66=0.2),12,IF(BE66=0.31,10,IF(BE66=0.33,9,IF(BE66=0.34,8,IF(BE66=0.36,6)))))</f>
        <v>8</v>
      </c>
      <c r="AE66" s="280">
        <f t="shared" si="54"/>
        <v>4.74</v>
      </c>
      <c r="AF66" s="467"/>
      <c r="AG66" s="282"/>
      <c r="AH66" s="502"/>
      <c r="AI66" s="493" t="s">
        <v>360</v>
      </c>
      <c r="AJ66" s="280"/>
      <c r="AK66" s="493"/>
      <c r="AL66" s="503"/>
      <c r="AM66" s="291"/>
      <c r="AN66" s="292"/>
      <c r="AO66" s="525">
        <f t="shared" si="55"/>
        <v>3</v>
      </c>
      <c r="AP66" s="877" t="str">
        <f t="shared" si="56"/>
        <v>/</v>
      </c>
      <c r="AQ66" s="283">
        <f t="shared" si="57"/>
        <v>8</v>
      </c>
      <c r="AR66" s="877">
        <f t="shared" si="58"/>
        <v>5.08</v>
      </c>
      <c r="AS66" s="414"/>
      <c r="AT66" s="285" t="s">
        <v>342</v>
      </c>
      <c r="AU66" s="488" t="s">
        <v>360</v>
      </c>
      <c r="AV66" s="2263" t="s">
        <v>347</v>
      </c>
      <c r="AW66" s="488" t="s">
        <v>360</v>
      </c>
      <c r="AX66" s="40">
        <v>2021</v>
      </c>
      <c r="AY66" s="318"/>
      <c r="AZ66" s="474" t="s">
        <v>639</v>
      </c>
      <c r="BA66" s="481"/>
      <c r="BB66" s="290">
        <f t="shared" si="59"/>
        <v>3</v>
      </c>
      <c r="BC66" s="403">
        <f t="shared" si="60"/>
        <v>-24255</v>
      </c>
      <c r="BD66" s="280">
        <f>VLOOKUP(Y66,'Du lieu lien quan'!$C$1:$F$60,3,0)</f>
        <v>4.4000000000000004</v>
      </c>
      <c r="BE66" s="280">
        <f>VLOOKUP(Y66,'Du lieu lien quan'!$C$1:$F$60,4,0)</f>
        <v>0.34</v>
      </c>
      <c r="BF66" s="293" t="str">
        <f t="shared" si="61"/>
        <v>PCTN</v>
      </c>
      <c r="BG66" s="294">
        <v>24</v>
      </c>
      <c r="BH66" s="425" t="s">
        <v>333</v>
      </c>
      <c r="BI66" s="504" t="s">
        <v>342</v>
      </c>
      <c r="BJ66" s="488" t="s">
        <v>360</v>
      </c>
      <c r="BK66" s="421" t="s">
        <v>372</v>
      </c>
      <c r="BL66" s="488" t="s">
        <v>360</v>
      </c>
      <c r="BM66" s="40">
        <v>2021</v>
      </c>
      <c r="BN66" s="291"/>
      <c r="BO66" s="297"/>
      <c r="BP66" s="295">
        <f t="shared" si="62"/>
        <v>25</v>
      </c>
      <c r="BQ66" s="505" t="s">
        <v>333</v>
      </c>
      <c r="BR66" s="504" t="s">
        <v>342</v>
      </c>
      <c r="BS66" s="484" t="s">
        <v>360</v>
      </c>
      <c r="BT66" s="421" t="s">
        <v>372</v>
      </c>
      <c r="BU66" s="484" t="s">
        <v>360</v>
      </c>
      <c r="BV66" s="40">
        <v>2022</v>
      </c>
      <c r="BW66" s="296"/>
      <c r="BX66" s="161"/>
      <c r="BY66" s="404">
        <f t="shared" si="63"/>
        <v>-24274</v>
      </c>
      <c r="BZ66" s="293" t="str">
        <f t="shared" si="95"/>
        <v>- - -</v>
      </c>
      <c r="CA66" s="273" t="str">
        <f t="shared" si="65"/>
        <v>Chánh Văn phòng Học viện, Trưởng Ban Tổ chức - Cán bộ, Trưởng Khoa Văn bản và Công nghệ hành chính</v>
      </c>
      <c r="CB66" s="298" t="str">
        <f t="shared" si="66"/>
        <v>A</v>
      </c>
      <c r="CC66" s="299" t="str">
        <f t="shared" si="67"/>
        <v>=&gt; s</v>
      </c>
      <c r="CD66" s="277">
        <f t="shared" si="68"/>
        <v>24279</v>
      </c>
      <c r="CE66" s="272" t="str">
        <f t="shared" si="69"/>
        <v>S</v>
      </c>
      <c r="CF66" s="272">
        <v>2017</v>
      </c>
      <c r="CG66" s="383"/>
      <c r="CH66" s="272"/>
      <c r="CI66" s="405"/>
      <c r="CJ66" s="272" t="str">
        <f t="shared" si="70"/>
        <v>- - -</v>
      </c>
      <c r="CK66" s="301" t="str">
        <f t="shared" si="71"/>
        <v>- - -</v>
      </c>
      <c r="CL66" s="302"/>
      <c r="CM66" s="303"/>
      <c r="CN66" s="302"/>
      <c r="CO66" s="304"/>
      <c r="CP66" s="301" t="str">
        <f t="shared" si="72"/>
        <v>- - -</v>
      </c>
      <c r="CQ66" s="302"/>
      <c r="CR66" s="511"/>
      <c r="CS66" s="302"/>
      <c r="CT66" s="304"/>
      <c r="CU66" s="305" t="str">
        <f t="shared" si="73"/>
        <v>---</v>
      </c>
      <c r="CV66" s="306" t="str">
        <f t="shared" si="74"/>
        <v>/-/ /-/</v>
      </c>
      <c r="CW66" s="307">
        <f t="shared" si="75"/>
        <v>7</v>
      </c>
      <c r="CX66" s="308">
        <f t="shared" si="76"/>
        <v>2028</v>
      </c>
      <c r="CY66" s="307">
        <f t="shared" si="77"/>
        <v>4</v>
      </c>
      <c r="CZ66" s="308">
        <f t="shared" si="78"/>
        <v>2028</v>
      </c>
      <c r="DA66" s="307">
        <f t="shared" si="79"/>
        <v>1</v>
      </c>
      <c r="DB66" s="308">
        <f t="shared" si="80"/>
        <v>2028</v>
      </c>
      <c r="DC66" s="309" t="str">
        <f t="shared" si="81"/>
        <v>- - -</v>
      </c>
      <c r="DD66" s="310" t="str">
        <f t="shared" si="82"/>
        <v>. .</v>
      </c>
      <c r="DE66" s="310"/>
      <c r="DF66" s="277">
        <f t="shared" si="83"/>
        <v>660</v>
      </c>
      <c r="DG66" s="277">
        <f t="shared" si="84"/>
        <v>-23670</v>
      </c>
      <c r="DH66" s="277">
        <f t="shared" si="85"/>
        <v>-1973</v>
      </c>
      <c r="DI66" s="277" t="str">
        <f t="shared" si="86"/>
        <v>Nữ dưới 30</v>
      </c>
      <c r="DJ66" s="277"/>
      <c r="DK66" s="277"/>
      <c r="DL66" s="293" t="str">
        <f t="shared" si="87"/>
        <v>Đến 30</v>
      </c>
      <c r="DM66" s="302" t="str">
        <f t="shared" si="88"/>
        <v>--</v>
      </c>
      <c r="DN66" s="274"/>
      <c r="DO66" s="272"/>
      <c r="DP66" s="311"/>
      <c r="DQ66" s="274"/>
      <c r="DR66" s="304"/>
      <c r="DS66" s="312"/>
      <c r="DT66" s="313"/>
      <c r="DU66" s="314"/>
      <c r="DV66" s="318"/>
      <c r="DW66" s="645" t="s">
        <v>317</v>
      </c>
      <c r="DX66" s="400" t="s">
        <v>130</v>
      </c>
      <c r="DY66" s="321"/>
      <c r="DZ66" s="285"/>
      <c r="EA66" s="287"/>
      <c r="EB66" s="287"/>
      <c r="EC66" s="287"/>
      <c r="ED66" s="315"/>
      <c r="EE66" s="287"/>
      <c r="EF66" s="316"/>
      <c r="EG66" s="285"/>
      <c r="EH66" s="287"/>
      <c r="EI66" s="287"/>
      <c r="EJ66" s="287"/>
      <c r="EK66" s="315"/>
      <c r="EL66" s="272"/>
      <c r="EM66" s="301" t="str">
        <f t="shared" si="89"/>
        <v>- - -</v>
      </c>
      <c r="EN66" s="317" t="str">
        <f t="shared" si="90"/>
        <v>---</v>
      </c>
      <c r="EO66" s="318"/>
      <c r="EP66" s="319"/>
      <c r="EQ66" s="319"/>
      <c r="ER66" s="319"/>
      <c r="ES66" s="319"/>
      <c r="ET66" s="319"/>
      <c r="EU66" s="319"/>
      <c r="EV66" s="319"/>
      <c r="EW66" s="319"/>
      <c r="EX66" s="319"/>
      <c r="EY66" s="319"/>
      <c r="EZ66" s="319"/>
      <c r="FA66" s="319"/>
      <c r="FB66" s="319"/>
      <c r="FC66" s="319"/>
      <c r="FD66" s="319"/>
      <c r="FE66" s="319"/>
      <c r="FF66" s="319"/>
      <c r="FG66" s="319"/>
      <c r="FH66" s="319"/>
      <c r="FI66" s="319"/>
      <c r="FJ66" s="319"/>
      <c r="FK66" s="319"/>
      <c r="FL66" s="319"/>
      <c r="FM66" s="319"/>
      <c r="FN66" s="319"/>
      <c r="FO66" s="319"/>
      <c r="FP66" s="319"/>
      <c r="FQ66" s="319"/>
      <c r="FR66" s="319"/>
    </row>
    <row r="67" spans="1:174" s="80" customFormat="1" ht="11.25" customHeight="1" x14ac:dyDescent="0.2">
      <c r="A67" s="101">
        <v>350</v>
      </c>
      <c r="B67" s="517">
        <v>15</v>
      </c>
      <c r="C67" s="35"/>
      <c r="D67" s="35" t="str">
        <f t="shared" si="48"/>
        <v>Bà</v>
      </c>
      <c r="E67" s="40" t="s">
        <v>131</v>
      </c>
      <c r="F67" s="35" t="s">
        <v>381</v>
      </c>
      <c r="G67" s="64" t="s">
        <v>273</v>
      </c>
      <c r="H67" s="620" t="s">
        <v>360</v>
      </c>
      <c r="I67" s="64" t="s">
        <v>350</v>
      </c>
      <c r="J67" s="620" t="s">
        <v>360</v>
      </c>
      <c r="K67" s="40">
        <v>1976</v>
      </c>
      <c r="L67" s="193" t="s">
        <v>452</v>
      </c>
      <c r="M67" s="652" t="str">
        <f t="shared" si="49"/>
        <v>VC</v>
      </c>
      <c r="N67" s="199"/>
      <c r="O67" s="621" t="e">
        <f t="shared" si="50"/>
        <v>#N/A</v>
      </c>
      <c r="P67" s="40"/>
      <c r="Q67" s="371" t="e">
        <f>VLOOKUP(P67,'Du lieu lien quan'!$C$2:$H$115,2,0)</f>
        <v>#N/A</v>
      </c>
      <c r="R67" s="40" t="s">
        <v>318</v>
      </c>
      <c r="S67" s="263" t="s">
        <v>130</v>
      </c>
      <c r="T67" s="38" t="str">
        <f>VLOOKUP(Y67,'Du lieu lien quan'!$C$2:$H$60,5,0)</f>
        <v>A1</v>
      </c>
      <c r="U67" s="39" t="str">
        <f>VLOOKUP(Y67,'Du lieu lien quan'!$C$2:$H$60,6,0)</f>
        <v>- - -</v>
      </c>
      <c r="V67" s="663" t="s">
        <v>425</v>
      </c>
      <c r="W67" s="370" t="str">
        <f t="shared" si="51"/>
        <v>Giáo viên trung học</v>
      </c>
      <c r="X67" s="373" t="str">
        <f t="shared" si="52"/>
        <v>15.113</v>
      </c>
      <c r="Y67" s="397" t="s">
        <v>313</v>
      </c>
      <c r="Z67" s="397" t="str">
        <f>VLOOKUP(Y67,'Du lieu lien quan'!$C$1:$H$133,2,0)</f>
        <v>15.113</v>
      </c>
      <c r="AA67" s="52" t="str">
        <f t="shared" si="53"/>
        <v>Lương</v>
      </c>
      <c r="AB67" s="647">
        <v>7</v>
      </c>
      <c r="AC67" s="495" t="s">
        <v>360</v>
      </c>
      <c r="AD67" s="43">
        <v>9</v>
      </c>
      <c r="AE67" s="44">
        <f t="shared" si="54"/>
        <v>4.32</v>
      </c>
      <c r="AF67" s="409"/>
      <c r="AG67" s="109"/>
      <c r="AH67" s="48" t="s">
        <v>342</v>
      </c>
      <c r="AI67" s="484" t="s">
        <v>360</v>
      </c>
      <c r="AJ67" s="82" t="s">
        <v>372</v>
      </c>
      <c r="AK67" s="484" t="s">
        <v>360</v>
      </c>
      <c r="AL67" s="50">
        <v>2018</v>
      </c>
      <c r="AM67" s="162"/>
      <c r="AN67" s="53"/>
      <c r="AO67" s="324">
        <f t="shared" si="55"/>
        <v>8</v>
      </c>
      <c r="AP67" s="256" t="str">
        <f t="shared" si="56"/>
        <v>/</v>
      </c>
      <c r="AQ67" s="87">
        <f t="shared" si="57"/>
        <v>9</v>
      </c>
      <c r="AR67" s="509">
        <f t="shared" si="58"/>
        <v>4.6500000000000004</v>
      </c>
      <c r="AS67" s="47"/>
      <c r="AT67" s="48" t="s">
        <v>342</v>
      </c>
      <c r="AU67" s="484" t="s">
        <v>360</v>
      </c>
      <c r="AV67" s="82" t="s">
        <v>372</v>
      </c>
      <c r="AW67" s="484" t="s">
        <v>360</v>
      </c>
      <c r="AX67" s="40">
        <v>2021</v>
      </c>
      <c r="AY67" s="91"/>
      <c r="AZ67" s="266"/>
      <c r="BA67" s="480"/>
      <c r="BB67" s="51">
        <f t="shared" si="59"/>
        <v>3</v>
      </c>
      <c r="BC67" s="328">
        <f t="shared" si="60"/>
        <v>-24262</v>
      </c>
      <c r="BD67" s="280">
        <f>VLOOKUP(Y67,'Du lieu lien quan'!$C$1:$F$60,3,0)</f>
        <v>2.34</v>
      </c>
      <c r="BE67" s="280">
        <f>VLOOKUP(Y67,'Du lieu lien quan'!$C$1:$F$60,4,0)</f>
        <v>0.33</v>
      </c>
      <c r="BF67" s="57" t="str">
        <f t="shared" si="61"/>
        <v>PCTN</v>
      </c>
      <c r="BG67" s="58">
        <v>21</v>
      </c>
      <c r="BH67" s="424" t="s">
        <v>333</v>
      </c>
      <c r="BI67" s="60" t="s">
        <v>342</v>
      </c>
      <c r="BJ67" s="489" t="s">
        <v>360</v>
      </c>
      <c r="BK67" s="422" t="s">
        <v>372</v>
      </c>
      <c r="BL67" s="489" t="s">
        <v>360</v>
      </c>
      <c r="BM67" s="40">
        <v>2021</v>
      </c>
      <c r="BN67" s="162"/>
      <c r="BO67" s="62"/>
      <c r="BP67" s="59">
        <f t="shared" si="62"/>
        <v>22</v>
      </c>
      <c r="BQ67" s="429" t="s">
        <v>333</v>
      </c>
      <c r="BR67" s="60" t="s">
        <v>342</v>
      </c>
      <c r="BS67" s="484" t="s">
        <v>360</v>
      </c>
      <c r="BT67" s="420" t="s">
        <v>372</v>
      </c>
      <c r="BU67" s="484" t="s">
        <v>360</v>
      </c>
      <c r="BV67" s="40">
        <v>2022</v>
      </c>
      <c r="BW67" s="61" t="s">
        <v>236</v>
      </c>
      <c r="BX67" s="161"/>
      <c r="BY67" s="329">
        <f t="shared" si="63"/>
        <v>-24274</v>
      </c>
      <c r="BZ67" s="57" t="str">
        <f t="shared" si="95"/>
        <v>- - -</v>
      </c>
      <c r="CA67" s="392" t="str">
        <f t="shared" si="65"/>
        <v>Chánh Văn phòng Học viện, Trưởng Ban Tổ chức - Cán bộ, Trưởng Khoa Văn bản và Công nghệ hành chính</v>
      </c>
      <c r="CB67" s="63" t="str">
        <f t="shared" si="66"/>
        <v>A</v>
      </c>
      <c r="CC67" s="41" t="str">
        <f t="shared" si="67"/>
        <v>=&gt; s</v>
      </c>
      <c r="CD67" s="52">
        <f t="shared" si="68"/>
        <v>24286</v>
      </c>
      <c r="CE67" s="35" t="str">
        <f t="shared" si="69"/>
        <v>---</v>
      </c>
      <c r="CF67" s="35"/>
      <c r="CG67" s="379"/>
      <c r="CH67" s="35"/>
      <c r="CI67" s="135"/>
      <c r="CJ67" s="35" t="str">
        <f t="shared" si="70"/>
        <v>- - -</v>
      </c>
      <c r="CK67" s="55" t="str">
        <f t="shared" si="71"/>
        <v>- - -</v>
      </c>
      <c r="CL67" s="65"/>
      <c r="CM67" s="66"/>
      <c r="CN67" s="65"/>
      <c r="CO67" s="84"/>
      <c r="CP67" s="55" t="str">
        <f t="shared" si="72"/>
        <v>- - -</v>
      </c>
      <c r="CQ67" s="65"/>
      <c r="CR67" s="182"/>
      <c r="CS67" s="65"/>
      <c r="CT67" s="84"/>
      <c r="CU67" s="69" t="str">
        <f t="shared" si="73"/>
        <v>---</v>
      </c>
      <c r="CV67" s="70" t="str">
        <f t="shared" si="74"/>
        <v>/-/ /-/</v>
      </c>
      <c r="CW67" s="67">
        <f t="shared" si="75"/>
        <v>1</v>
      </c>
      <c r="CX67" s="68">
        <f t="shared" si="76"/>
        <v>2032</v>
      </c>
      <c r="CY67" s="67">
        <f t="shared" si="77"/>
        <v>10</v>
      </c>
      <c r="CZ67" s="68">
        <f t="shared" si="78"/>
        <v>2031</v>
      </c>
      <c r="DA67" s="67">
        <f t="shared" si="79"/>
        <v>7</v>
      </c>
      <c r="DB67" s="68">
        <f t="shared" si="80"/>
        <v>2031</v>
      </c>
      <c r="DC67" s="71" t="str">
        <f t="shared" si="81"/>
        <v>- - -</v>
      </c>
      <c r="DD67" s="72" t="str">
        <f t="shared" si="82"/>
        <v>. .</v>
      </c>
      <c r="DE67" s="72"/>
      <c r="DF67" s="52">
        <f t="shared" si="83"/>
        <v>660</v>
      </c>
      <c r="DG67" s="52">
        <f t="shared" si="84"/>
        <v>-23712</v>
      </c>
      <c r="DH67" s="52">
        <f t="shared" si="85"/>
        <v>-1976</v>
      </c>
      <c r="DI67" s="52" t="str">
        <f t="shared" si="86"/>
        <v>Nữ dưới 30</v>
      </c>
      <c r="DJ67" s="52"/>
      <c r="DK67" s="52"/>
      <c r="DL67" s="57" t="str">
        <f t="shared" si="87"/>
        <v>Đến 30</v>
      </c>
      <c r="DM67" s="65" t="str">
        <f t="shared" si="88"/>
        <v>--</v>
      </c>
      <c r="DN67" s="36"/>
      <c r="DO67" s="35"/>
      <c r="DP67" s="73"/>
      <c r="DQ67" s="36"/>
      <c r="DR67" s="84"/>
      <c r="DS67" s="85"/>
      <c r="DT67" s="86"/>
      <c r="DU67" s="76"/>
      <c r="DV67" s="91"/>
      <c r="DW67" s="643" t="s">
        <v>318</v>
      </c>
      <c r="DX67" s="391" t="s">
        <v>130</v>
      </c>
      <c r="DY67" s="37" t="s">
        <v>318</v>
      </c>
      <c r="DZ67" s="48" t="s">
        <v>342</v>
      </c>
      <c r="EA67" s="49" t="s">
        <v>360</v>
      </c>
      <c r="EB67" s="49" t="s">
        <v>372</v>
      </c>
      <c r="EC67" s="49" t="s">
        <v>360</v>
      </c>
      <c r="ED67" s="77">
        <v>2012</v>
      </c>
      <c r="EE67" s="49">
        <f t="shared" ref="EE67:EE74" si="96">(DZ67+0)-(EG67+0)</f>
        <v>0</v>
      </c>
      <c r="EF67" s="78" t="str">
        <f t="shared" ref="EF67:EF74" si="97">IF(EE67&gt;0,"Sửa","- - -")</f>
        <v>- - -</v>
      </c>
      <c r="EG67" s="48" t="s">
        <v>342</v>
      </c>
      <c r="EH67" s="49" t="s">
        <v>360</v>
      </c>
      <c r="EI67" s="49" t="s">
        <v>372</v>
      </c>
      <c r="EJ67" s="49" t="s">
        <v>360</v>
      </c>
      <c r="EK67" s="77">
        <v>2012</v>
      </c>
      <c r="EL67" s="35"/>
      <c r="EM67" s="55" t="str">
        <f t="shared" si="89"/>
        <v>- - -</v>
      </c>
      <c r="EN67" s="79" t="str">
        <f t="shared" si="90"/>
        <v>---</v>
      </c>
      <c r="EO67" s="91"/>
    </row>
    <row r="68" spans="1:174" s="80" customFormat="1" ht="11.25" customHeight="1" x14ac:dyDescent="0.2">
      <c r="A68" s="101">
        <v>464</v>
      </c>
      <c r="B68" s="371">
        <v>16</v>
      </c>
      <c r="C68" s="35"/>
      <c r="D68" s="35" t="str">
        <f t="shared" si="48"/>
        <v>Ông</v>
      </c>
      <c r="E68" s="40" t="s">
        <v>68</v>
      </c>
      <c r="F68" s="35" t="s">
        <v>379</v>
      </c>
      <c r="G68" s="64" t="s">
        <v>17</v>
      </c>
      <c r="H68" s="620" t="s">
        <v>360</v>
      </c>
      <c r="I68" s="64" t="s">
        <v>344</v>
      </c>
      <c r="J68" s="620" t="s">
        <v>360</v>
      </c>
      <c r="K68" s="40">
        <v>1967</v>
      </c>
      <c r="L68" s="193" t="s">
        <v>452</v>
      </c>
      <c r="M68" s="652" t="str">
        <f t="shared" si="49"/>
        <v>VC</v>
      </c>
      <c r="N68" s="199"/>
      <c r="O68" s="621" t="e">
        <f t="shared" si="50"/>
        <v>#N/A</v>
      </c>
      <c r="P68" s="40"/>
      <c r="Q68" s="371" t="e">
        <f>VLOOKUP(P68,'[1]- DLiêu Gốc (Không sửa)'!$C$2:$H$116,2,0)</f>
        <v>#N/A</v>
      </c>
      <c r="R68" s="40" t="s">
        <v>587</v>
      </c>
      <c r="S68" s="263" t="s">
        <v>130</v>
      </c>
      <c r="T68" s="38" t="str">
        <f>VLOOKUP(Y68,'Du lieu lien quan'!$C$2:$H$60,5,0)</f>
        <v>A2</v>
      </c>
      <c r="U68" s="39" t="str">
        <f>VLOOKUP(Y68,'Du lieu lien quan'!$C$2:$H$60,6,0)</f>
        <v>A2.1</v>
      </c>
      <c r="V68" s="663" t="s">
        <v>424</v>
      </c>
      <c r="W68" s="370" t="str">
        <f t="shared" si="51"/>
        <v>Giảng viên chính (hạng II)</v>
      </c>
      <c r="X68" s="373" t="str">
        <f t="shared" si="52"/>
        <v>V.07.01.02</v>
      </c>
      <c r="Y68" s="397" t="s">
        <v>431</v>
      </c>
      <c r="Z68" s="397" t="str">
        <f>VLOOKUP(Y68,'Du lieu lien quan'!$C$1:$H$133,2,0)</f>
        <v>V.07.01.02</v>
      </c>
      <c r="AA68" s="52" t="str">
        <f t="shared" si="53"/>
        <v>Lương</v>
      </c>
      <c r="AB68" s="647">
        <v>7</v>
      </c>
      <c r="AC68" s="495" t="s">
        <v>360</v>
      </c>
      <c r="AD68" s="208">
        <v>8</v>
      </c>
      <c r="AE68" s="54">
        <f t="shared" si="54"/>
        <v>6.44</v>
      </c>
      <c r="AF68" s="409"/>
      <c r="AG68" s="109"/>
      <c r="AH68" s="485" t="s">
        <v>342</v>
      </c>
      <c r="AI68" s="493" t="s">
        <v>360</v>
      </c>
      <c r="AJ68" s="44" t="s">
        <v>17</v>
      </c>
      <c r="AK68" s="493" t="s">
        <v>360</v>
      </c>
      <c r="AL68" s="494">
        <v>2019</v>
      </c>
      <c r="AM68" s="162"/>
      <c r="AN68" s="53"/>
      <c r="AO68" s="324">
        <f t="shared" si="55"/>
        <v>8</v>
      </c>
      <c r="AP68" s="256" t="str">
        <f t="shared" si="56"/>
        <v>/</v>
      </c>
      <c r="AQ68" s="87">
        <f t="shared" si="57"/>
        <v>8</v>
      </c>
      <c r="AR68" s="256">
        <f t="shared" si="58"/>
        <v>6.78</v>
      </c>
      <c r="AS68" s="413"/>
      <c r="AT68" s="48" t="s">
        <v>342</v>
      </c>
      <c r="AU68" s="484" t="s">
        <v>360</v>
      </c>
      <c r="AV68" s="636" t="s">
        <v>17</v>
      </c>
      <c r="AW68" s="484" t="s">
        <v>360</v>
      </c>
      <c r="AX68" s="40">
        <v>2022</v>
      </c>
      <c r="AY68" s="91"/>
      <c r="AZ68" s="266"/>
      <c r="BA68" s="480"/>
      <c r="BB68" s="51">
        <f t="shared" si="59"/>
        <v>3</v>
      </c>
      <c r="BC68" s="328">
        <f t="shared" si="60"/>
        <v>-24270</v>
      </c>
      <c r="BD68" s="280">
        <f>VLOOKUP(Y68,'Du lieu lien quan'!$C$1:$F$60,3,0)</f>
        <v>4.4000000000000004</v>
      </c>
      <c r="BE68" s="280">
        <f>VLOOKUP(Y68,'Du lieu lien quan'!$C$1:$F$60,4,0)</f>
        <v>0.34</v>
      </c>
      <c r="BF68" s="57" t="str">
        <f t="shared" si="61"/>
        <v>PCTN</v>
      </c>
      <c r="BG68" s="58">
        <v>36</v>
      </c>
      <c r="BH68" s="424" t="s">
        <v>333</v>
      </c>
      <c r="BI68" s="60" t="s">
        <v>342</v>
      </c>
      <c r="BJ68" s="489" t="s">
        <v>360</v>
      </c>
      <c r="BK68" s="422">
        <v>10</v>
      </c>
      <c r="BL68" s="489" t="s">
        <v>360</v>
      </c>
      <c r="BM68" s="40">
        <v>2021</v>
      </c>
      <c r="BN68" s="162"/>
      <c r="BO68" s="62"/>
      <c r="BP68" s="59">
        <f t="shared" si="62"/>
        <v>37</v>
      </c>
      <c r="BQ68" s="429" t="s">
        <v>333</v>
      </c>
      <c r="BR68" s="60" t="s">
        <v>342</v>
      </c>
      <c r="BS68" s="484" t="s">
        <v>360</v>
      </c>
      <c r="BT68" s="420">
        <v>10</v>
      </c>
      <c r="BU68" s="484" t="s">
        <v>360</v>
      </c>
      <c r="BV68" s="40">
        <v>2022</v>
      </c>
      <c r="BW68" s="61"/>
      <c r="BX68" s="161"/>
      <c r="BY68" s="329">
        <f t="shared" si="63"/>
        <v>-24274</v>
      </c>
      <c r="BZ68" s="57" t="str">
        <f t="shared" si="95"/>
        <v>- - -</v>
      </c>
      <c r="CA68" s="392" t="str">
        <f t="shared" si="65"/>
        <v>Chánh Văn phòng Học viện, Trưởng Ban Tổ chức - Cán bộ, Trưởng Khoa Văn bản và Công nghệ hành chính</v>
      </c>
      <c r="CB68" s="63" t="str">
        <f t="shared" si="66"/>
        <v>A</v>
      </c>
      <c r="CC68" s="41" t="str">
        <f t="shared" si="67"/>
        <v>=&gt; s</v>
      </c>
      <c r="CD68" s="52">
        <f t="shared" si="68"/>
        <v>24294</v>
      </c>
      <c r="CE68" s="35" t="str">
        <f t="shared" si="69"/>
        <v>S</v>
      </c>
      <c r="CF68" s="35">
        <v>2013</v>
      </c>
      <c r="CG68" s="379" t="s">
        <v>428</v>
      </c>
      <c r="CH68" s="35"/>
      <c r="CI68" s="135"/>
      <c r="CJ68" s="35" t="str">
        <f t="shared" si="70"/>
        <v>Cùg Ng</v>
      </c>
      <c r="CK68" s="55" t="str">
        <f t="shared" si="71"/>
        <v>NN</v>
      </c>
      <c r="CL68" s="65">
        <v>1</v>
      </c>
      <c r="CM68" s="66">
        <v>2011</v>
      </c>
      <c r="CN68" s="65"/>
      <c r="CO68" s="84"/>
      <c r="CP68" s="55" t="str">
        <f t="shared" si="72"/>
        <v>- - -</v>
      </c>
      <c r="CQ68" s="65"/>
      <c r="CR68" s="182"/>
      <c r="CS68" s="65"/>
      <c r="CT68" s="84"/>
      <c r="CU68" s="69" t="str">
        <f t="shared" si="73"/>
        <v>---</v>
      </c>
      <c r="CV68" s="70" t="str">
        <f t="shared" si="74"/>
        <v>/-/ /-/</v>
      </c>
      <c r="CW68" s="67">
        <f t="shared" si="75"/>
        <v>6</v>
      </c>
      <c r="CX68" s="68">
        <f t="shared" si="76"/>
        <v>2027</v>
      </c>
      <c r="CY68" s="67">
        <f t="shared" si="77"/>
        <v>3</v>
      </c>
      <c r="CZ68" s="68">
        <f t="shared" si="78"/>
        <v>2027</v>
      </c>
      <c r="DA68" s="67">
        <f t="shared" si="79"/>
        <v>12</v>
      </c>
      <c r="DB68" s="68">
        <f t="shared" si="80"/>
        <v>2026</v>
      </c>
      <c r="DC68" s="71" t="str">
        <f t="shared" si="81"/>
        <v>- - -</v>
      </c>
      <c r="DD68" s="72" t="str">
        <f t="shared" si="82"/>
        <v>. .</v>
      </c>
      <c r="DE68" s="72"/>
      <c r="DF68" s="52">
        <f t="shared" si="83"/>
        <v>720</v>
      </c>
      <c r="DG68" s="52">
        <f t="shared" si="84"/>
        <v>-23597</v>
      </c>
      <c r="DH68" s="52">
        <f t="shared" si="85"/>
        <v>-1967</v>
      </c>
      <c r="DI68" s="52" t="str">
        <f t="shared" si="86"/>
        <v>Nam dưới 35</v>
      </c>
      <c r="DJ68" s="52"/>
      <c r="DK68" s="52"/>
      <c r="DL68" s="57" t="str">
        <f t="shared" si="87"/>
        <v>Đến 30</v>
      </c>
      <c r="DM68" s="65" t="str">
        <f t="shared" si="88"/>
        <v>--</v>
      </c>
      <c r="DN68" s="36"/>
      <c r="DO68" s="35"/>
      <c r="DP68" s="73"/>
      <c r="DQ68" s="36"/>
      <c r="DR68" s="84"/>
      <c r="DS68" s="85"/>
      <c r="DT68" s="86"/>
      <c r="DU68" s="76"/>
      <c r="DV68" s="91"/>
      <c r="DW68" s="643"/>
      <c r="DX68" s="391" t="s">
        <v>363</v>
      </c>
      <c r="DY68" s="37"/>
      <c r="DZ68" s="48" t="s">
        <v>342</v>
      </c>
      <c r="EA68" s="49" t="s">
        <v>360</v>
      </c>
      <c r="EB68" s="49">
        <v>6</v>
      </c>
      <c r="EC68" s="49" t="s">
        <v>360</v>
      </c>
      <c r="ED68" s="77">
        <v>2013</v>
      </c>
      <c r="EE68" s="49">
        <f t="shared" si="96"/>
        <v>0</v>
      </c>
      <c r="EF68" s="78" t="str">
        <f t="shared" si="97"/>
        <v>- - -</v>
      </c>
      <c r="EG68" s="48" t="s">
        <v>342</v>
      </c>
      <c r="EH68" s="49" t="s">
        <v>360</v>
      </c>
      <c r="EI68" s="49">
        <v>6</v>
      </c>
      <c r="EJ68" s="49" t="s">
        <v>360</v>
      </c>
      <c r="EK68" s="77">
        <v>2013</v>
      </c>
      <c r="EL68" s="35">
        <v>5.2788000000000004</v>
      </c>
      <c r="EM68" s="55" t="str">
        <f t="shared" si="89"/>
        <v>- - -</v>
      </c>
      <c r="EN68" s="79" t="str">
        <f t="shared" si="90"/>
        <v>---</v>
      </c>
      <c r="EO68" s="91"/>
    </row>
    <row r="69" spans="1:174" s="322" customFormat="1" ht="11.25" customHeight="1" x14ac:dyDescent="0.2">
      <c r="A69" s="101">
        <v>473</v>
      </c>
      <c r="B69" s="517">
        <v>17</v>
      </c>
      <c r="C69" s="35"/>
      <c r="D69" s="35" t="str">
        <f t="shared" si="48"/>
        <v>Ông</v>
      </c>
      <c r="E69" s="40" t="s">
        <v>265</v>
      </c>
      <c r="F69" s="35" t="s">
        <v>379</v>
      </c>
      <c r="G69" s="64" t="s">
        <v>383</v>
      </c>
      <c r="H69" s="620" t="s">
        <v>360</v>
      </c>
      <c r="I69" s="64" t="s">
        <v>344</v>
      </c>
      <c r="J69" s="620" t="s">
        <v>360</v>
      </c>
      <c r="K69" s="40" t="s">
        <v>28</v>
      </c>
      <c r="L69" s="193" t="s">
        <v>452</v>
      </c>
      <c r="M69" s="652" t="str">
        <f t="shared" si="49"/>
        <v>VC</v>
      </c>
      <c r="N69" s="199"/>
      <c r="O69" s="621" t="e">
        <f t="shared" si="50"/>
        <v>#VALUE!</v>
      </c>
      <c r="P69" s="40" t="s">
        <v>641</v>
      </c>
      <c r="Q69" s="371" t="str">
        <f>VLOOKUP(P69,'[1]- DLiêu Gốc (Không sửa)'!$C$2:$H$116,2,0)</f>
        <v>1,0</v>
      </c>
      <c r="R69" s="40"/>
      <c r="S69" s="263" t="s">
        <v>562</v>
      </c>
      <c r="T69" s="38" t="str">
        <f>VLOOKUP(Y69,'Du lieu lien quan'!$C$2:$H$60,5,0)</f>
        <v>A2</v>
      </c>
      <c r="U69" s="39" t="str">
        <f>VLOOKUP(Y69,'Du lieu lien quan'!$C$2:$H$60,6,0)</f>
        <v>A2.1</v>
      </c>
      <c r="V69" s="663" t="s">
        <v>424</v>
      </c>
      <c r="W69" s="370" t="str">
        <f t="shared" si="51"/>
        <v>Giảng viên chính (hạng II)</v>
      </c>
      <c r="X69" s="373" t="str">
        <f t="shared" si="52"/>
        <v>V.07.01.02</v>
      </c>
      <c r="Y69" s="397" t="s">
        <v>431</v>
      </c>
      <c r="Z69" s="397" t="str">
        <f>VLOOKUP(Y69,'Du lieu lien quan'!$C$1:$H$133,2,0)</f>
        <v>V.07.01.02</v>
      </c>
      <c r="AA69" s="52" t="str">
        <f t="shared" si="53"/>
        <v>Lương</v>
      </c>
      <c r="AB69" s="148">
        <v>1</v>
      </c>
      <c r="AC69" s="495" t="str">
        <f>IF(AD69&gt;0,"/")</f>
        <v>/</v>
      </c>
      <c r="AD69" s="43">
        <f>IF(OR(BE69=0.18,BE69=0.2),12,IF(BE69=0.31,10,IF(BE69=0.33,9,IF(BE69=0.34,8,IF(BE69=0.36,6)))))</f>
        <v>8</v>
      </c>
      <c r="AE69" s="44">
        <f t="shared" si="54"/>
        <v>4.4000000000000004</v>
      </c>
      <c r="AF69" s="409"/>
      <c r="AG69" s="109"/>
      <c r="AH69" s="485"/>
      <c r="AI69" s="493" t="s">
        <v>360</v>
      </c>
      <c r="AJ69" s="44"/>
      <c r="AK69" s="493" t="s">
        <v>360</v>
      </c>
      <c r="AL69" s="494"/>
      <c r="AM69" s="162"/>
      <c r="AN69" s="53"/>
      <c r="AO69" s="324">
        <f t="shared" si="55"/>
        <v>2</v>
      </c>
      <c r="AP69" s="256" t="str">
        <f t="shared" si="56"/>
        <v>/</v>
      </c>
      <c r="AQ69" s="87">
        <f t="shared" si="57"/>
        <v>8</v>
      </c>
      <c r="AR69" s="47">
        <f t="shared" si="58"/>
        <v>4.74</v>
      </c>
      <c r="AS69" s="413"/>
      <c r="AT69" s="48" t="s">
        <v>342</v>
      </c>
      <c r="AU69" s="484" t="s">
        <v>360</v>
      </c>
      <c r="AV69" s="82" t="s">
        <v>342</v>
      </c>
      <c r="AW69" s="484" t="s">
        <v>360</v>
      </c>
      <c r="AX69" s="40">
        <v>2021</v>
      </c>
      <c r="AY69" s="91"/>
      <c r="AZ69" s="694" t="s">
        <v>642</v>
      </c>
      <c r="BA69" s="480"/>
      <c r="BB69" s="51">
        <f t="shared" si="59"/>
        <v>3</v>
      </c>
      <c r="BC69" s="328">
        <f t="shared" si="60"/>
        <v>-24253</v>
      </c>
      <c r="BD69" s="280">
        <f>VLOOKUP(Y69,'Du lieu lien quan'!$C$1:$F$60,3,0)</f>
        <v>4.4000000000000004</v>
      </c>
      <c r="BE69" s="280">
        <f>VLOOKUP(Y69,'Du lieu lien quan'!$C$1:$F$60,4,0)</f>
        <v>0.34</v>
      </c>
      <c r="BF69" s="57" t="str">
        <f t="shared" si="61"/>
        <v>PCTN</v>
      </c>
      <c r="BG69" s="59">
        <v>23</v>
      </c>
      <c r="BH69" s="424" t="s">
        <v>333</v>
      </c>
      <c r="BI69" s="60" t="s">
        <v>342</v>
      </c>
      <c r="BJ69" s="489" t="s">
        <v>360</v>
      </c>
      <c r="BK69" s="422">
        <v>10</v>
      </c>
      <c r="BL69" s="489" t="s">
        <v>360</v>
      </c>
      <c r="BM69" s="40">
        <v>2021</v>
      </c>
      <c r="BN69" s="162"/>
      <c r="BO69" s="62"/>
      <c r="BP69" s="59">
        <f t="shared" si="62"/>
        <v>24</v>
      </c>
      <c r="BQ69" s="429" t="s">
        <v>333</v>
      </c>
      <c r="BR69" s="60" t="s">
        <v>342</v>
      </c>
      <c r="BS69" s="484" t="s">
        <v>360</v>
      </c>
      <c r="BT69" s="420">
        <v>10</v>
      </c>
      <c r="BU69" s="484" t="s">
        <v>360</v>
      </c>
      <c r="BV69" s="40">
        <v>2022</v>
      </c>
      <c r="BW69" s="61"/>
      <c r="BX69" s="161"/>
      <c r="BY69" s="329">
        <f t="shared" si="63"/>
        <v>-24274</v>
      </c>
      <c r="BZ69" s="57" t="str">
        <f t="shared" si="95"/>
        <v>- - -</v>
      </c>
      <c r="CA69" s="392" t="str">
        <f t="shared" si="65"/>
        <v>Chánh Văn phòng Học viện, Trưởng Ban Tổ chức - Cán bộ, Trưởng Ban Tổ chức cán bộ</v>
      </c>
      <c r="CB69" s="63" t="str">
        <f t="shared" si="66"/>
        <v>A</v>
      </c>
      <c r="CC69" s="41" t="str">
        <f t="shared" si="67"/>
        <v>=&gt; s</v>
      </c>
      <c r="CD69" s="52">
        <f t="shared" si="68"/>
        <v>24277</v>
      </c>
      <c r="CE69" s="35" t="str">
        <f t="shared" si="69"/>
        <v>S</v>
      </c>
      <c r="CF69" s="35">
        <v>2017</v>
      </c>
      <c r="CG69" s="379" t="s">
        <v>426</v>
      </c>
      <c r="CH69" s="35"/>
      <c r="CI69" s="135"/>
      <c r="CJ69" s="35" t="str">
        <f t="shared" si="70"/>
        <v>- - -</v>
      </c>
      <c r="CK69" s="55" t="str">
        <f t="shared" si="71"/>
        <v>- - -</v>
      </c>
      <c r="CL69" s="65"/>
      <c r="CM69" s="66"/>
      <c r="CN69" s="65"/>
      <c r="CO69" s="84"/>
      <c r="CP69" s="55" t="str">
        <f t="shared" si="72"/>
        <v>- - -</v>
      </c>
      <c r="CQ69" s="65"/>
      <c r="CR69" s="36"/>
      <c r="CS69" s="65"/>
      <c r="CT69" s="84"/>
      <c r="CU69" s="69" t="str">
        <f t="shared" si="73"/>
        <v>---</v>
      </c>
      <c r="CV69" s="70" t="str">
        <f t="shared" si="74"/>
        <v>/-/ /-/</v>
      </c>
      <c r="CW69" s="67">
        <f t="shared" si="75"/>
        <v>6</v>
      </c>
      <c r="CX69" s="68">
        <f t="shared" si="76"/>
        <v>2035</v>
      </c>
      <c r="CY69" s="67">
        <f t="shared" si="77"/>
        <v>3</v>
      </c>
      <c r="CZ69" s="68">
        <f t="shared" si="78"/>
        <v>2035</v>
      </c>
      <c r="DA69" s="67">
        <f t="shared" si="79"/>
        <v>12</v>
      </c>
      <c r="DB69" s="68">
        <f t="shared" si="80"/>
        <v>2034</v>
      </c>
      <c r="DC69" s="71" t="str">
        <f t="shared" si="81"/>
        <v>- - -</v>
      </c>
      <c r="DD69" s="72" t="str">
        <f t="shared" si="82"/>
        <v>. .</v>
      </c>
      <c r="DE69" s="72"/>
      <c r="DF69" s="52">
        <f t="shared" si="83"/>
        <v>720</v>
      </c>
      <c r="DG69" s="52">
        <f t="shared" si="84"/>
        <v>-23693</v>
      </c>
      <c r="DH69" s="52">
        <f t="shared" si="85"/>
        <v>-1975</v>
      </c>
      <c r="DI69" s="52" t="str">
        <f t="shared" si="86"/>
        <v>Nam dưới 35</v>
      </c>
      <c r="DJ69" s="52"/>
      <c r="DK69" s="52"/>
      <c r="DL69" s="57" t="str">
        <f t="shared" si="87"/>
        <v>Đến 30</v>
      </c>
      <c r="DM69" s="65" t="str">
        <f t="shared" si="88"/>
        <v>--</v>
      </c>
      <c r="DN69" s="36"/>
      <c r="DO69" s="35"/>
      <c r="DP69" s="73"/>
      <c r="DQ69" s="36"/>
      <c r="DR69" s="84"/>
      <c r="DS69" s="85"/>
      <c r="DT69" s="86"/>
      <c r="DU69" s="76" t="s">
        <v>409</v>
      </c>
      <c r="DV69" s="91" t="s">
        <v>266</v>
      </c>
      <c r="DW69" s="37"/>
      <c r="DX69" s="391" t="s">
        <v>419</v>
      </c>
      <c r="DY69" s="37" t="s">
        <v>337</v>
      </c>
      <c r="DZ69" s="48" t="s">
        <v>342</v>
      </c>
      <c r="EA69" s="49" t="s">
        <v>360</v>
      </c>
      <c r="EB69" s="49" t="s">
        <v>372</v>
      </c>
      <c r="EC69" s="49" t="s">
        <v>360</v>
      </c>
      <c r="ED69" s="77">
        <v>2012</v>
      </c>
      <c r="EE69" s="49">
        <f t="shared" si="96"/>
        <v>0</v>
      </c>
      <c r="EF69" s="78" t="str">
        <f t="shared" si="97"/>
        <v>- - -</v>
      </c>
      <c r="EG69" s="48" t="s">
        <v>342</v>
      </c>
      <c r="EH69" s="49" t="s">
        <v>360</v>
      </c>
      <c r="EI69" s="49" t="s">
        <v>372</v>
      </c>
      <c r="EJ69" s="49" t="s">
        <v>360</v>
      </c>
      <c r="EK69" s="77">
        <v>2012</v>
      </c>
      <c r="EL69" s="35"/>
      <c r="EM69" s="55" t="str">
        <f t="shared" si="89"/>
        <v>- - -</v>
      </c>
      <c r="EN69" s="79" t="str">
        <f t="shared" si="90"/>
        <v>---</v>
      </c>
      <c r="EO69" s="91"/>
      <c r="EP69" s="80"/>
      <c r="EQ69" s="80"/>
      <c r="ER69" s="80"/>
      <c r="ES69" s="80"/>
      <c r="ET69" s="80"/>
      <c r="EU69" s="80"/>
      <c r="EV69" s="80"/>
      <c r="EW69" s="80"/>
      <c r="EX69" s="80"/>
      <c r="EY69" s="80"/>
      <c r="EZ69" s="80"/>
      <c r="FA69" s="80"/>
      <c r="FB69" s="80"/>
      <c r="FC69" s="80"/>
      <c r="FD69" s="80"/>
      <c r="FE69" s="80"/>
      <c r="FF69" s="80"/>
      <c r="FG69" s="80"/>
      <c r="FH69" s="80"/>
      <c r="FI69" s="80"/>
      <c r="FJ69" s="80"/>
      <c r="FK69" s="80"/>
      <c r="FL69" s="80"/>
      <c r="FM69" s="80"/>
      <c r="FN69" s="80"/>
      <c r="FO69" s="80"/>
      <c r="FP69" s="80"/>
      <c r="FQ69" s="80"/>
      <c r="FR69" s="80"/>
    </row>
    <row r="70" spans="1:174" s="138" customFormat="1" ht="11.25" customHeight="1" x14ac:dyDescent="0.2">
      <c r="A70" s="101">
        <v>663</v>
      </c>
      <c r="B70" s="371">
        <v>18</v>
      </c>
      <c r="C70" s="35"/>
      <c r="D70" s="35" t="str">
        <f t="shared" si="48"/>
        <v>Ông</v>
      </c>
      <c r="E70" s="40" t="s">
        <v>93</v>
      </c>
      <c r="F70" s="35" t="s">
        <v>379</v>
      </c>
      <c r="G70" s="64" t="s">
        <v>327</v>
      </c>
      <c r="H70" s="620" t="s">
        <v>360</v>
      </c>
      <c r="I70" s="64" t="s">
        <v>373</v>
      </c>
      <c r="J70" s="620" t="s">
        <v>360</v>
      </c>
      <c r="K70" s="40" t="s">
        <v>322</v>
      </c>
      <c r="L70" s="193" t="s">
        <v>452</v>
      </c>
      <c r="M70" s="652" t="str">
        <f t="shared" si="49"/>
        <v>VC</v>
      </c>
      <c r="N70" s="199"/>
      <c r="O70" s="621" t="e">
        <f t="shared" si="50"/>
        <v>#N/A</v>
      </c>
      <c r="P70" s="40"/>
      <c r="Q70" s="371" t="e">
        <f>VLOOKUP(P70,'[1]- DLiêu Gốc (Không sửa)'!$C$2:$H$116,2,0)</f>
        <v>#N/A</v>
      </c>
      <c r="R70" s="174" t="s">
        <v>563</v>
      </c>
      <c r="S70" s="646" t="s">
        <v>557</v>
      </c>
      <c r="T70" s="38" t="str">
        <f>VLOOKUP(Y70,'Du lieu lien quan'!$C$2:$H$60,5,0)</f>
        <v>A1</v>
      </c>
      <c r="U70" s="39" t="str">
        <f>VLOOKUP(Y70,'Du lieu lien quan'!$C$2:$H$60,6,0)</f>
        <v>- - -</v>
      </c>
      <c r="V70" s="663" t="s">
        <v>424</v>
      </c>
      <c r="W70" s="370" t="str">
        <f t="shared" si="51"/>
        <v>Giảng viên (hạng III)</v>
      </c>
      <c r="X70" s="373" t="str">
        <f t="shared" si="52"/>
        <v>V.07.01.03</v>
      </c>
      <c r="Y70" s="397" t="s">
        <v>430</v>
      </c>
      <c r="Z70" s="397" t="str">
        <f>VLOOKUP(Y70,'Du lieu lien quan'!$C$1:$H$133,2,0)</f>
        <v>V.07.01.03</v>
      </c>
      <c r="AA70" s="52" t="str">
        <f t="shared" si="53"/>
        <v>Lương</v>
      </c>
      <c r="AB70" s="175">
        <v>7</v>
      </c>
      <c r="AC70" s="495" t="str">
        <f>IF(AD70&gt;0,"/")</f>
        <v>/</v>
      </c>
      <c r="AD70" s="208">
        <f>IF(OR(BE70=0.18,BE70=0.2),12,IF(BE70=0.31,10,IF(BE70=0.33,9,IF(BE70=0.34,8,IF(BE70=0.36,6)))))</f>
        <v>9</v>
      </c>
      <c r="AE70" s="54">
        <f t="shared" si="54"/>
        <v>4.32</v>
      </c>
      <c r="AF70" s="409"/>
      <c r="AG70" s="109"/>
      <c r="AH70" s="485" t="s">
        <v>342</v>
      </c>
      <c r="AI70" s="493" t="s">
        <v>360</v>
      </c>
      <c r="AJ70" s="44" t="s">
        <v>345</v>
      </c>
      <c r="AK70" s="493" t="s">
        <v>360</v>
      </c>
      <c r="AL70" s="876">
        <v>2017</v>
      </c>
      <c r="AM70" s="162"/>
      <c r="AN70" s="53"/>
      <c r="AO70" s="324">
        <f t="shared" si="55"/>
        <v>8</v>
      </c>
      <c r="AP70" s="256" t="str">
        <f t="shared" si="56"/>
        <v>/</v>
      </c>
      <c r="AQ70" s="87">
        <f t="shared" si="57"/>
        <v>9</v>
      </c>
      <c r="AR70" s="47">
        <f t="shared" si="58"/>
        <v>4.6500000000000004</v>
      </c>
      <c r="AS70" s="413"/>
      <c r="AT70" s="48" t="s">
        <v>342</v>
      </c>
      <c r="AU70" s="484" t="s">
        <v>360</v>
      </c>
      <c r="AV70" s="82" t="s">
        <v>345</v>
      </c>
      <c r="AW70" s="484" t="s">
        <v>360</v>
      </c>
      <c r="AX70" s="102">
        <v>2020</v>
      </c>
      <c r="AY70" s="91"/>
      <c r="AZ70" s="469"/>
      <c r="BA70" s="480"/>
      <c r="BB70" s="51">
        <f t="shared" si="59"/>
        <v>3</v>
      </c>
      <c r="BC70" s="328">
        <f t="shared" si="60"/>
        <v>-24246</v>
      </c>
      <c r="BD70" s="280">
        <f>VLOOKUP(Y70,'Du lieu lien quan'!$C$1:$F$60,3,0)</f>
        <v>2.34</v>
      </c>
      <c r="BE70" s="280">
        <f>VLOOKUP(Y70,'Du lieu lien quan'!$C$1:$F$60,4,0)</f>
        <v>0.33</v>
      </c>
      <c r="BF70" s="57" t="str">
        <f t="shared" si="61"/>
        <v>PCTN</v>
      </c>
      <c r="BG70" s="58">
        <v>15</v>
      </c>
      <c r="BH70" s="424" t="s">
        <v>333</v>
      </c>
      <c r="BI70" s="60" t="s">
        <v>342</v>
      </c>
      <c r="BJ70" s="489" t="s">
        <v>360</v>
      </c>
      <c r="BK70" s="422">
        <v>10</v>
      </c>
      <c r="BL70" s="489" t="s">
        <v>360</v>
      </c>
      <c r="BM70" s="40">
        <v>2021</v>
      </c>
      <c r="BN70" s="162"/>
      <c r="BO70" s="62"/>
      <c r="BP70" s="59">
        <f t="shared" si="62"/>
        <v>16</v>
      </c>
      <c r="BQ70" s="429" t="s">
        <v>333</v>
      </c>
      <c r="BR70" s="60" t="s">
        <v>342</v>
      </c>
      <c r="BS70" s="484" t="s">
        <v>360</v>
      </c>
      <c r="BT70" s="420">
        <v>10</v>
      </c>
      <c r="BU70" s="484" t="s">
        <v>360</v>
      </c>
      <c r="BV70" s="40">
        <v>2022</v>
      </c>
      <c r="BW70" s="61"/>
      <c r="BX70" s="161"/>
      <c r="BY70" s="329">
        <f t="shared" si="63"/>
        <v>-24274</v>
      </c>
      <c r="BZ70" s="57" t="str">
        <f t="shared" si="95"/>
        <v>- - -</v>
      </c>
      <c r="CA70" s="392" t="str">
        <f t="shared" si="65"/>
        <v>Chánh Văn phòng Học viện, Trưởng Ban Tổ chức - Cán bộ, Trưởng Phân viện Học viện Hành chính Quốc gia tại Thành phố Hồ Chí Minh</v>
      </c>
      <c r="CB70" s="63" t="str">
        <f t="shared" si="66"/>
        <v>A</v>
      </c>
      <c r="CC70" s="41" t="str">
        <f t="shared" si="67"/>
        <v>=&gt; s</v>
      </c>
      <c r="CD70" s="52">
        <f t="shared" si="68"/>
        <v>24270</v>
      </c>
      <c r="CE70" s="35" t="str">
        <f t="shared" si="69"/>
        <v>---</v>
      </c>
      <c r="CF70" s="35"/>
      <c r="CG70" s="379"/>
      <c r="CH70" s="35"/>
      <c r="CI70" s="35"/>
      <c r="CJ70" s="35" t="str">
        <f t="shared" si="70"/>
        <v>- - -</v>
      </c>
      <c r="CK70" s="55" t="str">
        <f t="shared" si="71"/>
        <v>- - -</v>
      </c>
      <c r="CL70" s="65"/>
      <c r="CM70" s="66"/>
      <c r="CN70" s="65"/>
      <c r="CO70" s="84"/>
      <c r="CP70" s="55" t="str">
        <f t="shared" si="72"/>
        <v>- - -</v>
      </c>
      <c r="CQ70" s="65"/>
      <c r="CR70" s="66"/>
      <c r="CS70" s="65"/>
      <c r="CT70" s="84"/>
      <c r="CU70" s="69" t="str">
        <f t="shared" si="73"/>
        <v>---</v>
      </c>
      <c r="CV70" s="70" t="str">
        <f t="shared" si="74"/>
        <v>/-/ /-/</v>
      </c>
      <c r="CW70" s="67">
        <f t="shared" si="75"/>
        <v>12</v>
      </c>
      <c r="CX70" s="68">
        <f t="shared" si="76"/>
        <v>2025</v>
      </c>
      <c r="CY70" s="67">
        <f t="shared" si="77"/>
        <v>9</v>
      </c>
      <c r="CZ70" s="68">
        <f t="shared" si="78"/>
        <v>2025</v>
      </c>
      <c r="DA70" s="67">
        <f t="shared" si="79"/>
        <v>6</v>
      </c>
      <c r="DB70" s="68">
        <f t="shared" si="80"/>
        <v>2025</v>
      </c>
      <c r="DC70" s="71" t="str">
        <f t="shared" si="81"/>
        <v>- - -</v>
      </c>
      <c r="DD70" s="72" t="str">
        <f t="shared" si="82"/>
        <v>. .</v>
      </c>
      <c r="DE70" s="72"/>
      <c r="DF70" s="52">
        <f t="shared" si="83"/>
        <v>720</v>
      </c>
      <c r="DG70" s="52">
        <f t="shared" si="84"/>
        <v>-23579</v>
      </c>
      <c r="DH70" s="52">
        <f t="shared" si="85"/>
        <v>-1965</v>
      </c>
      <c r="DI70" s="52" t="str">
        <f t="shared" si="86"/>
        <v>Nam dưới 35</v>
      </c>
      <c r="DJ70" s="52"/>
      <c r="DK70" s="52"/>
      <c r="DL70" s="57" t="str">
        <f t="shared" si="87"/>
        <v>Đến 30</v>
      </c>
      <c r="DM70" s="65" t="str">
        <f t="shared" si="88"/>
        <v>TD</v>
      </c>
      <c r="DN70" s="36">
        <v>2009</v>
      </c>
      <c r="DO70" s="35"/>
      <c r="DP70" s="56"/>
      <c r="DQ70" s="84"/>
      <c r="DR70" s="84"/>
      <c r="DS70" s="85"/>
      <c r="DT70" s="86"/>
      <c r="DU70" s="76"/>
      <c r="DV70" s="91"/>
      <c r="DW70" s="37" t="s">
        <v>92</v>
      </c>
      <c r="DX70" s="391" t="s">
        <v>416</v>
      </c>
      <c r="DY70" s="37" t="s">
        <v>92</v>
      </c>
      <c r="DZ70" s="48" t="s">
        <v>342</v>
      </c>
      <c r="EA70" s="49" t="s">
        <v>360</v>
      </c>
      <c r="EB70" s="179" t="s">
        <v>345</v>
      </c>
      <c r="EC70" s="49" t="s">
        <v>360</v>
      </c>
      <c r="ED70" s="77">
        <v>2011</v>
      </c>
      <c r="EE70" s="49">
        <f t="shared" si="96"/>
        <v>0</v>
      </c>
      <c r="EF70" s="78" t="str">
        <f t="shared" si="97"/>
        <v>- - -</v>
      </c>
      <c r="EG70" s="48" t="s">
        <v>342</v>
      </c>
      <c r="EH70" s="49" t="s">
        <v>360</v>
      </c>
      <c r="EI70" s="49" t="s">
        <v>345</v>
      </c>
      <c r="EJ70" s="49" t="s">
        <v>360</v>
      </c>
      <c r="EK70" s="77">
        <v>2011</v>
      </c>
      <c r="EL70" s="35"/>
      <c r="EM70" s="55" t="str">
        <f t="shared" si="89"/>
        <v>- - -</v>
      </c>
      <c r="EN70" s="79" t="str">
        <f t="shared" si="90"/>
        <v>---</v>
      </c>
      <c r="EO70" s="91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258"/>
      <c r="FO70" s="258"/>
      <c r="FP70" s="258"/>
      <c r="FQ70" s="258"/>
      <c r="FR70" s="258"/>
    </row>
    <row r="71" spans="1:174" s="1255" customFormat="1" ht="11.25" customHeight="1" x14ac:dyDescent="0.2">
      <c r="A71" s="101">
        <v>678</v>
      </c>
      <c r="B71" s="517">
        <v>19</v>
      </c>
      <c r="C71" s="35"/>
      <c r="D71" s="35" t="str">
        <f t="shared" si="48"/>
        <v>Bà</v>
      </c>
      <c r="E71" s="40" t="s">
        <v>91</v>
      </c>
      <c r="F71" s="35" t="s">
        <v>381</v>
      </c>
      <c r="G71" s="64" t="s">
        <v>342</v>
      </c>
      <c r="H71" s="620" t="s">
        <v>360</v>
      </c>
      <c r="I71" s="64" t="s">
        <v>347</v>
      </c>
      <c r="J71" s="620" t="s">
        <v>360</v>
      </c>
      <c r="K71" s="40" t="s">
        <v>311</v>
      </c>
      <c r="L71" s="193" t="s">
        <v>452</v>
      </c>
      <c r="M71" s="652" t="str">
        <f t="shared" si="49"/>
        <v>VC</v>
      </c>
      <c r="N71" s="199"/>
      <c r="O71" s="621" t="e">
        <f t="shared" si="50"/>
        <v>#N/A</v>
      </c>
      <c r="P71" s="40"/>
      <c r="Q71" s="371" t="e">
        <f>VLOOKUP(P71,'[1]- DLiêu Gốc (Không sửa)'!$C$2:$H$116,2,0)</f>
        <v>#N/A</v>
      </c>
      <c r="R71" s="159" t="s">
        <v>74</v>
      </c>
      <c r="S71" s="551" t="s">
        <v>557</v>
      </c>
      <c r="T71" s="532" t="str">
        <f>VLOOKUP(Y71,'Du lieu lien quan'!$C$2:$H$60,5,0)</f>
        <v>A1</v>
      </c>
      <c r="U71" s="533" t="str">
        <f>VLOOKUP(Y71,'Du lieu lien quan'!$C$2:$H$60,6,0)</f>
        <v>- - -</v>
      </c>
      <c r="V71" s="381" t="s">
        <v>424</v>
      </c>
      <c r="W71" s="552" t="str">
        <f t="shared" si="51"/>
        <v>Giảng viên (hạng III)</v>
      </c>
      <c r="X71" s="379" t="str">
        <f t="shared" si="52"/>
        <v>V.07.01.03</v>
      </c>
      <c r="Y71" s="553" t="s">
        <v>430</v>
      </c>
      <c r="Z71" s="553" t="str">
        <f>VLOOKUP(Y71,'Du lieu lien quan'!$C$1:$H$133,2,0)</f>
        <v>V.07.01.03</v>
      </c>
      <c r="AA71" s="185" t="str">
        <f t="shared" si="53"/>
        <v>Lương</v>
      </c>
      <c r="AB71" s="178">
        <v>7</v>
      </c>
      <c r="AC71" s="495" t="s">
        <v>360</v>
      </c>
      <c r="AD71" s="43">
        <v>9</v>
      </c>
      <c r="AE71" s="554">
        <f t="shared" si="54"/>
        <v>4.32</v>
      </c>
      <c r="AF71" s="554"/>
      <c r="AG71" s="409"/>
      <c r="AH71" s="184" t="s">
        <v>342</v>
      </c>
      <c r="AI71" s="492" t="s">
        <v>360</v>
      </c>
      <c r="AJ71" s="49" t="s">
        <v>372</v>
      </c>
      <c r="AK71" s="492" t="s">
        <v>360</v>
      </c>
      <c r="AL71" s="50">
        <v>2018</v>
      </c>
      <c r="AM71" s="241"/>
      <c r="AN71" s="239"/>
      <c r="AO71" s="541">
        <f t="shared" si="55"/>
        <v>8</v>
      </c>
      <c r="AP71" s="534" t="str">
        <f t="shared" si="56"/>
        <v>/</v>
      </c>
      <c r="AQ71" s="560">
        <f t="shared" si="57"/>
        <v>9</v>
      </c>
      <c r="AR71" s="47">
        <f t="shared" si="58"/>
        <v>4.6500000000000004</v>
      </c>
      <c r="AS71" s="413"/>
      <c r="AT71" s="184" t="s">
        <v>342</v>
      </c>
      <c r="AU71" s="492" t="s">
        <v>360</v>
      </c>
      <c r="AV71" s="49" t="s">
        <v>372</v>
      </c>
      <c r="AW71" s="492" t="s">
        <v>360</v>
      </c>
      <c r="AX71" s="50">
        <v>2021</v>
      </c>
      <c r="AY71" s="159"/>
      <c r="AZ71" s="475"/>
      <c r="BA71" s="567"/>
      <c r="BB71" s="568">
        <f t="shared" si="59"/>
        <v>3</v>
      </c>
      <c r="BC71" s="569">
        <f t="shared" si="60"/>
        <v>-24262</v>
      </c>
      <c r="BD71" s="570">
        <f>VLOOKUP(Y71,'Du lieu lien quan'!$C$1:$F$60,3,0)</f>
        <v>2.34</v>
      </c>
      <c r="BE71" s="570">
        <f>VLOOKUP(Y71,'Du lieu lien quan'!$C$1:$F$60,4,0)</f>
        <v>0.33</v>
      </c>
      <c r="BF71" s="571" t="str">
        <f t="shared" si="61"/>
        <v>PCTN</v>
      </c>
      <c r="BG71" s="535">
        <v>21</v>
      </c>
      <c r="BH71" s="536" t="s">
        <v>333</v>
      </c>
      <c r="BI71" s="542" t="s">
        <v>342</v>
      </c>
      <c r="BJ71" s="563" t="s">
        <v>360</v>
      </c>
      <c r="BK71" s="422">
        <v>10</v>
      </c>
      <c r="BL71" s="563" t="s">
        <v>360</v>
      </c>
      <c r="BM71" s="40">
        <v>2021</v>
      </c>
      <c r="BN71" s="241"/>
      <c r="BO71" s="537"/>
      <c r="BP71" s="59">
        <f t="shared" si="62"/>
        <v>22</v>
      </c>
      <c r="BQ71" s="239" t="s">
        <v>333</v>
      </c>
      <c r="BR71" s="542" t="s">
        <v>342</v>
      </c>
      <c r="BS71" s="492" t="s">
        <v>360</v>
      </c>
      <c r="BT71" s="420">
        <v>10</v>
      </c>
      <c r="BU71" s="492" t="s">
        <v>360</v>
      </c>
      <c r="BV71" s="40">
        <v>2022</v>
      </c>
      <c r="BW71" s="180"/>
      <c r="BX71" s="583"/>
      <c r="BY71" s="585">
        <f t="shared" si="63"/>
        <v>-24274</v>
      </c>
      <c r="BZ71" s="571" t="str">
        <f t="shared" si="95"/>
        <v>- - -</v>
      </c>
      <c r="CA71" s="588" t="str">
        <f t="shared" si="65"/>
        <v>Chánh Văn phòng Học viện, Trưởng Ban Tổ chức - Cán bộ, Trưởng Phân viện Học viện Hành chính Quốc gia tại Thành phố Hồ Chí Minh</v>
      </c>
      <c r="CB71" s="519" t="str">
        <f t="shared" si="66"/>
        <v>A</v>
      </c>
      <c r="CC71" s="185" t="str">
        <f t="shared" si="67"/>
        <v>=&gt; s</v>
      </c>
      <c r="CD71" s="185">
        <f t="shared" si="68"/>
        <v>24286</v>
      </c>
      <c r="CE71" s="182" t="str">
        <f t="shared" si="69"/>
        <v>---</v>
      </c>
      <c r="CF71" s="182"/>
      <c r="CG71" s="379"/>
      <c r="CH71" s="182"/>
      <c r="CI71" s="873"/>
      <c r="CJ71" s="182" t="str">
        <f t="shared" si="70"/>
        <v>- - -</v>
      </c>
      <c r="CK71" s="183" t="str">
        <f t="shared" si="71"/>
        <v>- - -</v>
      </c>
      <c r="CL71" s="183"/>
      <c r="CM71" s="182"/>
      <c r="CN71" s="183"/>
      <c r="CO71" s="183"/>
      <c r="CP71" s="183" t="str">
        <f t="shared" si="72"/>
        <v>- - -</v>
      </c>
      <c r="CQ71" s="183"/>
      <c r="CR71" s="182"/>
      <c r="CS71" s="183"/>
      <c r="CT71" s="183"/>
      <c r="CU71" s="539" t="str">
        <f t="shared" si="73"/>
        <v>---</v>
      </c>
      <c r="CV71" s="596" t="str">
        <f t="shared" si="74"/>
        <v>/-/ /-/</v>
      </c>
      <c r="CW71" s="242">
        <f t="shared" si="75"/>
        <v>4</v>
      </c>
      <c r="CX71" s="242">
        <f t="shared" si="76"/>
        <v>2032</v>
      </c>
      <c r="CY71" s="242">
        <f t="shared" si="77"/>
        <v>1</v>
      </c>
      <c r="CZ71" s="242">
        <f t="shared" si="78"/>
        <v>2032</v>
      </c>
      <c r="DA71" s="242">
        <f t="shared" si="79"/>
        <v>10</v>
      </c>
      <c r="DB71" s="242">
        <f t="shared" si="80"/>
        <v>2031</v>
      </c>
      <c r="DC71" s="540" t="str">
        <f t="shared" si="81"/>
        <v>- - -</v>
      </c>
      <c r="DD71" s="605" t="str">
        <f t="shared" si="82"/>
        <v>. .</v>
      </c>
      <c r="DE71" s="607"/>
      <c r="DF71" s="185">
        <f t="shared" si="83"/>
        <v>660</v>
      </c>
      <c r="DG71" s="185">
        <f t="shared" si="84"/>
        <v>-23715</v>
      </c>
      <c r="DH71" s="185">
        <f t="shared" si="85"/>
        <v>-1977</v>
      </c>
      <c r="DI71" s="185" t="str">
        <f t="shared" si="86"/>
        <v>Nữ dưới 30</v>
      </c>
      <c r="DJ71" s="185"/>
      <c r="DK71" s="185"/>
      <c r="DL71" s="571" t="str">
        <f t="shared" si="87"/>
        <v>Đến 30</v>
      </c>
      <c r="DM71" s="183" t="str">
        <f t="shared" si="88"/>
        <v>--</v>
      </c>
      <c r="DN71" s="182"/>
      <c r="DO71" s="182"/>
      <c r="DP71" s="182"/>
      <c r="DQ71" s="182"/>
      <c r="DR71" s="183"/>
      <c r="DS71" s="183"/>
      <c r="DT71" s="240"/>
      <c r="DU71" s="614"/>
      <c r="DV71" s="159"/>
      <c r="DW71" s="159" t="s">
        <v>74</v>
      </c>
      <c r="DX71" s="550" t="s">
        <v>416</v>
      </c>
      <c r="DY71" s="159" t="s">
        <v>74</v>
      </c>
      <c r="DZ71" s="184" t="s">
        <v>342</v>
      </c>
      <c r="EA71" s="179" t="s">
        <v>360</v>
      </c>
      <c r="EB71" s="179" t="s">
        <v>372</v>
      </c>
      <c r="EC71" s="179" t="s">
        <v>360</v>
      </c>
      <c r="ED71" s="243">
        <v>2012</v>
      </c>
      <c r="EE71" s="179">
        <f t="shared" si="96"/>
        <v>0</v>
      </c>
      <c r="EF71" s="182" t="str">
        <f t="shared" si="97"/>
        <v>- - -</v>
      </c>
      <c r="EG71" s="184" t="s">
        <v>342</v>
      </c>
      <c r="EH71" s="179" t="s">
        <v>360</v>
      </c>
      <c r="EI71" s="179" t="s">
        <v>372</v>
      </c>
      <c r="EJ71" s="179" t="s">
        <v>360</v>
      </c>
      <c r="EK71" s="243">
        <v>2012</v>
      </c>
      <c r="EL71" s="182"/>
      <c r="EM71" s="183" t="str">
        <f t="shared" si="89"/>
        <v>- - -</v>
      </c>
      <c r="EN71" s="540" t="str">
        <f t="shared" si="90"/>
        <v>---</v>
      </c>
      <c r="EO71" s="159"/>
      <c r="EP71" s="242"/>
      <c r="EQ71" s="242"/>
      <c r="ER71" s="242"/>
      <c r="ES71" s="242"/>
      <c r="ET71" s="242"/>
      <c r="EU71" s="242"/>
      <c r="EV71" s="242"/>
      <c r="EW71" s="242"/>
      <c r="EX71" s="242"/>
      <c r="EY71" s="242"/>
      <c r="EZ71" s="242"/>
      <c r="FA71" s="242"/>
      <c r="FB71" s="242"/>
      <c r="FC71" s="242"/>
      <c r="FD71" s="242"/>
      <c r="FE71" s="242"/>
      <c r="FF71" s="242"/>
      <c r="FG71" s="242"/>
      <c r="FH71" s="242"/>
      <c r="FI71" s="242"/>
      <c r="FJ71" s="242"/>
      <c r="FK71" s="242"/>
      <c r="FL71" s="242"/>
      <c r="FM71" s="242"/>
      <c r="FN71" s="242"/>
      <c r="FO71" s="242"/>
      <c r="FP71" s="242"/>
      <c r="FQ71" s="242"/>
      <c r="FR71" s="242"/>
    </row>
    <row r="72" spans="1:174" s="33" customFormat="1" ht="14.25" customHeight="1" x14ac:dyDescent="0.2">
      <c r="A72" s="101">
        <v>685</v>
      </c>
      <c r="B72" s="371">
        <v>20</v>
      </c>
      <c r="C72" s="35"/>
      <c r="D72" s="101" t="str">
        <f t="shared" si="48"/>
        <v>Ông</v>
      </c>
      <c r="E72" s="102" t="s">
        <v>77</v>
      </c>
      <c r="F72" s="101" t="s">
        <v>379</v>
      </c>
      <c r="G72" s="634" t="s">
        <v>350</v>
      </c>
      <c r="H72" s="265" t="s">
        <v>360</v>
      </c>
      <c r="I72" s="634" t="s">
        <v>347</v>
      </c>
      <c r="J72" s="265" t="s">
        <v>360</v>
      </c>
      <c r="K72" s="102" t="s">
        <v>14</v>
      </c>
      <c r="L72" s="193" t="s">
        <v>452</v>
      </c>
      <c r="M72" s="652" t="str">
        <f t="shared" si="49"/>
        <v>VC</v>
      </c>
      <c r="N72" s="199"/>
      <c r="O72" s="621" t="str">
        <f t="shared" si="50"/>
        <v>CVụ</v>
      </c>
      <c r="P72" s="102" t="s">
        <v>567</v>
      </c>
      <c r="Q72" s="371">
        <f>VLOOKUP(P72,'Du lieu lien quan'!$C$2:$H$115,2,0)</f>
        <v>0.8</v>
      </c>
      <c r="R72" s="159"/>
      <c r="S72" s="551" t="s">
        <v>557</v>
      </c>
      <c r="T72" s="554" t="str">
        <f>VLOOKUP(Y72,'Du lieu lien quan'!$C$2:$H$60,5,0)</f>
        <v>A3</v>
      </c>
      <c r="U72" s="2262" t="str">
        <f>VLOOKUP(Y72,'Du lieu lien quan'!$C$2:$H$60,6,0)</f>
        <v>A3.1</v>
      </c>
      <c r="V72" s="381" t="s">
        <v>424</v>
      </c>
      <c r="W72" s="552" t="str">
        <f t="shared" si="51"/>
        <v>Giảng viên cao cấp (hạng I)</v>
      </c>
      <c r="X72" s="379" t="str">
        <f t="shared" si="52"/>
        <v>V.07.01.01</v>
      </c>
      <c r="Y72" s="553" t="s">
        <v>429</v>
      </c>
      <c r="Z72" s="553" t="str">
        <f>VLOOKUP(Y72,'Du lieu lien quan'!$C$1:$H$133,2,0)</f>
        <v>V.07.01.01</v>
      </c>
      <c r="AA72" s="185" t="str">
        <f t="shared" si="53"/>
        <v>Lương</v>
      </c>
      <c r="AB72" s="2185">
        <v>3</v>
      </c>
      <c r="AC72" s="495" t="str">
        <f>IF(AD72&gt;0,"/")</f>
        <v>/</v>
      </c>
      <c r="AD72" s="208">
        <f>IF(OR(BE72=0.18,BE72=0.2),12,IF(BE72=0.31,10,IF(BE72=0.33,9,IF(BE72=0.34,8,IF(BE72=0.36,6)))))</f>
        <v>6</v>
      </c>
      <c r="AE72" s="532">
        <f t="shared" si="54"/>
        <v>6.92</v>
      </c>
      <c r="AF72" s="554"/>
      <c r="AG72" s="554"/>
      <c r="AH72" s="184" t="s">
        <v>342</v>
      </c>
      <c r="AI72" s="563" t="s">
        <v>360</v>
      </c>
      <c r="AJ72" s="49" t="s">
        <v>346</v>
      </c>
      <c r="AK72" s="563" t="s">
        <v>360</v>
      </c>
      <c r="AL72" s="50">
        <v>2017</v>
      </c>
      <c r="AM72" s="2143"/>
      <c r="AN72" s="2186"/>
      <c r="AO72" s="2187">
        <f t="shared" si="55"/>
        <v>4</v>
      </c>
      <c r="AP72" s="531" t="str">
        <f t="shared" si="56"/>
        <v>/</v>
      </c>
      <c r="AQ72" s="556">
        <f t="shared" si="57"/>
        <v>6</v>
      </c>
      <c r="AR72" s="531">
        <f t="shared" si="58"/>
        <v>7.28</v>
      </c>
      <c r="AS72" s="531"/>
      <c r="AT72" s="184" t="s">
        <v>342</v>
      </c>
      <c r="AU72" s="563" t="s">
        <v>360</v>
      </c>
      <c r="AV72" s="49" t="s">
        <v>346</v>
      </c>
      <c r="AW72" s="563" t="s">
        <v>360</v>
      </c>
      <c r="AX72" s="50">
        <v>2020</v>
      </c>
      <c r="AY72" s="159"/>
      <c r="AZ72" s="2273"/>
      <c r="BA72" s="1279"/>
      <c r="BB72" s="2188">
        <f t="shared" si="59"/>
        <v>3</v>
      </c>
      <c r="BC72" s="569">
        <f t="shared" si="60"/>
        <v>-24248</v>
      </c>
      <c r="BD72" s="570">
        <f>VLOOKUP(Y72,'Du lieu lien quan'!$C$1:$F$60,3,0)</f>
        <v>6.2</v>
      </c>
      <c r="BE72" s="570">
        <f>VLOOKUP(Y72,'Du lieu lien quan'!$C$1:$F$60,4,0)</f>
        <v>0.36</v>
      </c>
      <c r="BF72" s="2151" t="str">
        <f t="shared" si="61"/>
        <v>PCTN</v>
      </c>
      <c r="BG72" s="2189">
        <v>27</v>
      </c>
      <c r="BH72" s="2190" t="s">
        <v>333</v>
      </c>
      <c r="BI72" s="542" t="s">
        <v>342</v>
      </c>
      <c r="BJ72" s="563" t="s">
        <v>360</v>
      </c>
      <c r="BK72" s="872">
        <v>10</v>
      </c>
      <c r="BL72" s="563" t="s">
        <v>360</v>
      </c>
      <c r="BM72" s="40">
        <v>2021</v>
      </c>
      <c r="BN72" s="2143"/>
      <c r="BO72" s="2274"/>
      <c r="BP72" s="119">
        <f t="shared" si="62"/>
        <v>28</v>
      </c>
      <c r="BQ72" s="2186" t="s">
        <v>333</v>
      </c>
      <c r="BR72" s="542" t="s">
        <v>342</v>
      </c>
      <c r="BS72" s="563" t="s">
        <v>360</v>
      </c>
      <c r="BT72" s="177">
        <v>10</v>
      </c>
      <c r="BU72" s="563" t="s">
        <v>360</v>
      </c>
      <c r="BV72" s="40">
        <v>2022</v>
      </c>
      <c r="BW72" s="2275"/>
      <c r="BX72" s="583"/>
      <c r="BY72" s="585">
        <f t="shared" si="63"/>
        <v>-24274</v>
      </c>
      <c r="BZ72" s="2151" t="str">
        <f t="shared" si="95"/>
        <v>- - -</v>
      </c>
      <c r="CA72" s="588" t="str">
        <f t="shared" si="65"/>
        <v>Chánh Văn phòng Học viện, Trưởng Ban Tổ chức - Cán bộ, Trưởng Phân viện Học viện Hành chính Quốc gia tại Thành phố Hồ Chí Minh</v>
      </c>
      <c r="CB72" s="2191" t="str">
        <f t="shared" si="66"/>
        <v>A</v>
      </c>
      <c r="CC72" s="1172" t="str">
        <f t="shared" si="67"/>
        <v>=&gt; s</v>
      </c>
      <c r="CD72" s="1172">
        <f t="shared" si="68"/>
        <v>24272</v>
      </c>
      <c r="CE72" s="538" t="str">
        <f t="shared" si="69"/>
        <v>S</v>
      </c>
      <c r="CF72" s="538">
        <v>2017</v>
      </c>
      <c r="CG72" s="379" t="s">
        <v>428</v>
      </c>
      <c r="CH72" s="538"/>
      <c r="CI72" s="538"/>
      <c r="CJ72" s="182" t="str">
        <f t="shared" si="70"/>
        <v>- - -</v>
      </c>
      <c r="CK72" s="1260" t="str">
        <f t="shared" si="71"/>
        <v>NN</v>
      </c>
      <c r="CL72" s="1260">
        <v>5</v>
      </c>
      <c r="CM72" s="538">
        <v>2012</v>
      </c>
      <c r="CN72" s="1260"/>
      <c r="CO72" s="1260"/>
      <c r="CP72" s="1260" t="str">
        <f t="shared" si="72"/>
        <v>- - -</v>
      </c>
      <c r="CQ72" s="1260"/>
      <c r="CR72" s="538"/>
      <c r="CS72" s="1260"/>
      <c r="CT72" s="1260"/>
      <c r="CU72" s="2192" t="str">
        <f t="shared" si="73"/>
        <v>---</v>
      </c>
      <c r="CV72" s="2276" t="str">
        <f t="shared" si="74"/>
        <v>/-/ /-/</v>
      </c>
      <c r="CW72" s="390">
        <f t="shared" si="75"/>
        <v>4</v>
      </c>
      <c r="CX72" s="390">
        <f t="shared" si="76"/>
        <v>2023</v>
      </c>
      <c r="CY72" s="390">
        <f t="shared" si="77"/>
        <v>1</v>
      </c>
      <c r="CZ72" s="390">
        <f t="shared" si="78"/>
        <v>2023</v>
      </c>
      <c r="DA72" s="390">
        <f t="shared" si="79"/>
        <v>10</v>
      </c>
      <c r="DB72" s="390">
        <f t="shared" si="80"/>
        <v>2022</v>
      </c>
      <c r="DC72" s="2193" t="str">
        <f t="shared" si="81"/>
        <v>- - -</v>
      </c>
      <c r="DD72" s="2194" t="str">
        <f t="shared" si="82"/>
        <v>. .</v>
      </c>
      <c r="DE72" s="2195"/>
      <c r="DF72" s="1172">
        <f t="shared" si="83"/>
        <v>720</v>
      </c>
      <c r="DG72" s="1172">
        <f t="shared" si="84"/>
        <v>-23547</v>
      </c>
      <c r="DH72" s="1172">
        <f t="shared" si="85"/>
        <v>-1963</v>
      </c>
      <c r="DI72" s="1172" t="str">
        <f t="shared" si="86"/>
        <v>Nam dưới 35</v>
      </c>
      <c r="DJ72" s="379"/>
      <c r="DK72" s="1172"/>
      <c r="DL72" s="2151" t="str">
        <f t="shared" si="87"/>
        <v>Đến 30</v>
      </c>
      <c r="DM72" s="1260" t="str">
        <f t="shared" si="88"/>
        <v>--</v>
      </c>
      <c r="DN72" s="538"/>
      <c r="DO72" s="538"/>
      <c r="DP72" s="538"/>
      <c r="DQ72" s="538"/>
      <c r="DR72" s="1260"/>
      <c r="DS72" s="1260"/>
      <c r="DT72" s="2270"/>
      <c r="DU72" s="2196"/>
      <c r="DV72" s="696"/>
      <c r="DW72" s="159" t="s">
        <v>10</v>
      </c>
      <c r="DX72" s="550" t="s">
        <v>416</v>
      </c>
      <c r="DY72" s="696" t="s">
        <v>368</v>
      </c>
      <c r="DZ72" s="1259" t="s">
        <v>342</v>
      </c>
      <c r="EA72" s="530" t="s">
        <v>360</v>
      </c>
      <c r="EB72" s="530" t="s">
        <v>344</v>
      </c>
      <c r="EC72" s="530" t="s">
        <v>360</v>
      </c>
      <c r="ED72" s="2197">
        <v>2012</v>
      </c>
      <c r="EE72" s="530">
        <f t="shared" si="96"/>
        <v>0</v>
      </c>
      <c r="EF72" s="538" t="str">
        <f t="shared" si="97"/>
        <v>- - -</v>
      </c>
      <c r="EG72" s="1259" t="s">
        <v>342</v>
      </c>
      <c r="EH72" s="530" t="s">
        <v>360</v>
      </c>
      <c r="EI72" s="530" t="s">
        <v>344</v>
      </c>
      <c r="EJ72" s="530" t="s">
        <v>360</v>
      </c>
      <c r="EK72" s="2197">
        <v>2012</v>
      </c>
      <c r="EL72" s="538">
        <v>5.42</v>
      </c>
      <c r="EM72" s="1260" t="str">
        <f t="shared" si="89"/>
        <v>- - -</v>
      </c>
      <c r="EN72" s="2193" t="str">
        <f t="shared" si="90"/>
        <v>---</v>
      </c>
      <c r="EO72" s="159"/>
      <c r="EP72" s="242"/>
      <c r="EQ72" s="242"/>
      <c r="ER72" s="242"/>
      <c r="ES72" s="242"/>
      <c r="ET72" s="242"/>
      <c r="EU72" s="242"/>
      <c r="EV72" s="242"/>
      <c r="EW72" s="242"/>
      <c r="EX72" s="242"/>
      <c r="EY72" s="242"/>
      <c r="EZ72" s="242"/>
      <c r="FA72" s="242"/>
      <c r="FB72" s="242"/>
      <c r="FC72" s="242"/>
      <c r="FD72" s="242"/>
      <c r="FE72" s="242"/>
      <c r="FF72" s="242"/>
      <c r="FG72" s="242"/>
      <c r="FH72" s="242"/>
      <c r="FI72" s="242"/>
      <c r="FJ72" s="242"/>
      <c r="FK72" s="242"/>
      <c r="FL72" s="242"/>
      <c r="FM72" s="242"/>
      <c r="FN72" s="242"/>
      <c r="FO72" s="242"/>
      <c r="FP72" s="242"/>
      <c r="FQ72" s="242"/>
      <c r="FR72" s="242"/>
    </row>
    <row r="73" spans="1:174" s="156" customFormat="1" ht="11.25" customHeight="1" x14ac:dyDescent="0.2">
      <c r="A73" s="101">
        <v>690</v>
      </c>
      <c r="B73" s="517">
        <v>21</v>
      </c>
      <c r="C73" s="35"/>
      <c r="D73" s="35" t="str">
        <f t="shared" si="48"/>
        <v>Ông</v>
      </c>
      <c r="E73" s="40" t="s">
        <v>298</v>
      </c>
      <c r="F73" s="35" t="s">
        <v>379</v>
      </c>
      <c r="G73" s="64" t="s">
        <v>350</v>
      </c>
      <c r="H73" s="620" t="s">
        <v>360</v>
      </c>
      <c r="I73" s="64" t="s">
        <v>372</v>
      </c>
      <c r="J73" s="620" t="s">
        <v>360</v>
      </c>
      <c r="K73" s="40">
        <v>1965</v>
      </c>
      <c r="L73" s="193" t="s">
        <v>452</v>
      </c>
      <c r="M73" s="652" t="str">
        <f t="shared" si="49"/>
        <v>VC</v>
      </c>
      <c r="N73" s="199"/>
      <c r="O73" s="621" t="e">
        <f t="shared" si="50"/>
        <v>#VALUE!</v>
      </c>
      <c r="P73" s="40" t="s">
        <v>255</v>
      </c>
      <c r="Q73" s="371" t="str">
        <f>VLOOKUP(P73,'[1]- DLiêu Gốc (Không sửa)'!$C$2:$H$116,2,0)</f>
        <v>0,6</v>
      </c>
      <c r="R73" s="40" t="s">
        <v>578</v>
      </c>
      <c r="S73" s="646" t="s">
        <v>557</v>
      </c>
      <c r="T73" s="38" t="str">
        <f>VLOOKUP(Y73,'Du lieu lien quan'!$C$2:$H$60,5,0)</f>
        <v>A2</v>
      </c>
      <c r="U73" s="39" t="str">
        <f>VLOOKUP(Y73,'Du lieu lien quan'!$C$2:$H$60,6,0)</f>
        <v>A2.1</v>
      </c>
      <c r="V73" s="663" t="s">
        <v>424</v>
      </c>
      <c r="W73" s="370" t="str">
        <f t="shared" si="51"/>
        <v>Giảng viên chính (hạng II)</v>
      </c>
      <c r="X73" s="373" t="str">
        <f t="shared" si="52"/>
        <v>V.07.01.02</v>
      </c>
      <c r="Y73" s="397" t="s">
        <v>431</v>
      </c>
      <c r="Z73" s="397" t="str">
        <f>VLOOKUP(Y73,'Du lieu lien quan'!$C$1:$H$133,2,0)</f>
        <v>V.07.01.02</v>
      </c>
      <c r="AA73" s="52" t="str">
        <f t="shared" si="53"/>
        <v>Lương</v>
      </c>
      <c r="AB73" s="175">
        <v>7</v>
      </c>
      <c r="AC73" s="495" t="str">
        <f>IF(AD73&gt;0,"/")</f>
        <v>/</v>
      </c>
      <c r="AD73" s="43">
        <f>IF(OR(BE73=0.18,BE73=0.2),12,IF(BE73=0.31,10,IF(BE73=0.33,9,IF(BE73=0.34,8,IF(BE73=0.36,6)))))</f>
        <v>8</v>
      </c>
      <c r="AE73" s="554">
        <f t="shared" si="54"/>
        <v>6.44</v>
      </c>
      <c r="AF73" s="409"/>
      <c r="AG73" s="109"/>
      <c r="AH73" s="48" t="s">
        <v>342</v>
      </c>
      <c r="AI73" s="531" t="s">
        <v>360</v>
      </c>
      <c r="AJ73" s="49" t="s">
        <v>343</v>
      </c>
      <c r="AK73" s="493" t="s">
        <v>360</v>
      </c>
      <c r="AL73" s="50">
        <v>2018</v>
      </c>
      <c r="AM73" s="162"/>
      <c r="AN73" s="53"/>
      <c r="AO73" s="324">
        <f t="shared" si="55"/>
        <v>8</v>
      </c>
      <c r="AP73" s="256" t="str">
        <f t="shared" si="56"/>
        <v>/</v>
      </c>
      <c r="AQ73" s="87">
        <f t="shared" si="57"/>
        <v>8</v>
      </c>
      <c r="AR73" s="47">
        <f t="shared" si="58"/>
        <v>6.78</v>
      </c>
      <c r="AS73" s="413"/>
      <c r="AT73" s="48" t="s">
        <v>342</v>
      </c>
      <c r="AU73" s="492" t="s">
        <v>360</v>
      </c>
      <c r="AV73" s="49" t="s">
        <v>401</v>
      </c>
      <c r="AW73" s="484" t="s">
        <v>360</v>
      </c>
      <c r="AX73" s="487">
        <v>2020</v>
      </c>
      <c r="AY73" s="428"/>
      <c r="AZ73" s="266" t="s">
        <v>629</v>
      </c>
      <c r="BA73" s="480">
        <v>2.1800000000000002</v>
      </c>
      <c r="BB73" s="51">
        <f t="shared" si="59"/>
        <v>3</v>
      </c>
      <c r="BC73" s="328">
        <f t="shared" si="60"/>
        <v>-24245</v>
      </c>
      <c r="BD73" s="280">
        <f>VLOOKUP(Y73,'Du lieu lien quan'!$C$1:$F$60,3,0)</f>
        <v>4.4000000000000004</v>
      </c>
      <c r="BE73" s="280">
        <f>VLOOKUP(Y73,'Du lieu lien quan'!$C$1:$F$60,4,0)</f>
        <v>0.34</v>
      </c>
      <c r="BF73" s="57" t="str">
        <f t="shared" si="61"/>
        <v>PCTN</v>
      </c>
      <c r="BG73" s="58">
        <v>16</v>
      </c>
      <c r="BH73" s="424" t="s">
        <v>333</v>
      </c>
      <c r="BI73" s="60" t="s">
        <v>342</v>
      </c>
      <c r="BJ73" s="489" t="s">
        <v>360</v>
      </c>
      <c r="BK73" s="422" t="s">
        <v>372</v>
      </c>
      <c r="BL73" s="489" t="s">
        <v>360</v>
      </c>
      <c r="BM73" s="40">
        <v>2021</v>
      </c>
      <c r="BN73" s="162"/>
      <c r="BO73" s="62"/>
      <c r="BP73" s="59">
        <f t="shared" si="62"/>
        <v>17</v>
      </c>
      <c r="BQ73" s="429" t="s">
        <v>333</v>
      </c>
      <c r="BR73" s="60" t="s">
        <v>342</v>
      </c>
      <c r="BS73" s="484" t="s">
        <v>360</v>
      </c>
      <c r="BT73" s="420" t="s">
        <v>372</v>
      </c>
      <c r="BU73" s="484" t="s">
        <v>360</v>
      </c>
      <c r="BV73" s="40">
        <v>2022</v>
      </c>
      <c r="BW73" s="61" t="s">
        <v>435</v>
      </c>
      <c r="BX73" s="161"/>
      <c r="BY73" s="329">
        <f t="shared" si="63"/>
        <v>-24274</v>
      </c>
      <c r="BZ73" s="57" t="str">
        <f t="shared" si="95"/>
        <v>- - -</v>
      </c>
      <c r="CA73" s="392" t="str">
        <f t="shared" si="65"/>
        <v>Chánh Văn phòng Học viện, Trưởng Ban Tổ chức - Cán bộ, Trưởng Phân viện Học viện Hành chính Quốc gia tại Thành phố Hồ Chí Minh</v>
      </c>
      <c r="CB73" s="63" t="str">
        <f t="shared" si="66"/>
        <v>A</v>
      </c>
      <c r="CC73" s="41" t="str">
        <f t="shared" si="67"/>
        <v>=&gt; s</v>
      </c>
      <c r="CD73" s="52">
        <f t="shared" si="68"/>
        <v>24269</v>
      </c>
      <c r="CE73" s="35" t="str">
        <f t="shared" si="69"/>
        <v>---</v>
      </c>
      <c r="CF73" s="35"/>
      <c r="CG73" s="379"/>
      <c r="CH73" s="35"/>
      <c r="CI73" s="135"/>
      <c r="CJ73" s="35" t="str">
        <f t="shared" si="70"/>
        <v>- - -</v>
      </c>
      <c r="CK73" s="55" t="str">
        <f t="shared" si="71"/>
        <v>- - -</v>
      </c>
      <c r="CL73" s="65"/>
      <c r="CM73" s="66"/>
      <c r="CN73" s="65"/>
      <c r="CO73" s="84"/>
      <c r="CP73" s="55" t="str">
        <f t="shared" si="72"/>
        <v>- - -</v>
      </c>
      <c r="CQ73" s="65"/>
      <c r="CR73" s="66"/>
      <c r="CS73" s="65"/>
      <c r="CT73" s="84"/>
      <c r="CU73" s="69" t="str">
        <f t="shared" si="73"/>
        <v>---</v>
      </c>
      <c r="CV73" s="70" t="str">
        <f t="shared" si="74"/>
        <v>/-/ /-/</v>
      </c>
      <c r="CW73" s="67">
        <f t="shared" si="75"/>
        <v>11</v>
      </c>
      <c r="CX73" s="68">
        <f t="shared" si="76"/>
        <v>2025</v>
      </c>
      <c r="CY73" s="67">
        <f t="shared" si="77"/>
        <v>8</v>
      </c>
      <c r="CZ73" s="68">
        <f t="shared" si="78"/>
        <v>2025</v>
      </c>
      <c r="DA73" s="67">
        <f t="shared" si="79"/>
        <v>5</v>
      </c>
      <c r="DB73" s="68">
        <f t="shared" si="80"/>
        <v>2025</v>
      </c>
      <c r="DC73" s="71" t="str">
        <f t="shared" si="81"/>
        <v>- - -</v>
      </c>
      <c r="DD73" s="72" t="str">
        <f t="shared" si="82"/>
        <v>. .</v>
      </c>
      <c r="DE73" s="72"/>
      <c r="DF73" s="52">
        <f t="shared" si="83"/>
        <v>720</v>
      </c>
      <c r="DG73" s="52">
        <f t="shared" si="84"/>
        <v>-23578</v>
      </c>
      <c r="DH73" s="52">
        <f t="shared" si="85"/>
        <v>-1965</v>
      </c>
      <c r="DI73" s="52" t="str">
        <f t="shared" si="86"/>
        <v>Nam dưới 35</v>
      </c>
      <c r="DJ73" s="52"/>
      <c r="DK73" s="52"/>
      <c r="DL73" s="57" t="str">
        <f t="shared" si="87"/>
        <v>Đến 30</v>
      </c>
      <c r="DM73" s="65" t="str">
        <f t="shared" si="88"/>
        <v>--</v>
      </c>
      <c r="DN73" s="36"/>
      <c r="DO73" s="35"/>
      <c r="DP73" s="73"/>
      <c r="DQ73" s="36"/>
      <c r="DR73" s="84"/>
      <c r="DS73" s="85"/>
      <c r="DT73" s="86"/>
      <c r="DU73" s="76"/>
      <c r="DV73" s="91"/>
      <c r="DW73" s="37" t="s">
        <v>86</v>
      </c>
      <c r="DX73" s="391" t="s">
        <v>416</v>
      </c>
      <c r="DY73" s="37" t="s">
        <v>86</v>
      </c>
      <c r="DZ73" s="48" t="s">
        <v>342</v>
      </c>
      <c r="EA73" s="49" t="s">
        <v>360</v>
      </c>
      <c r="EB73" s="179" t="s">
        <v>343</v>
      </c>
      <c r="EC73" s="49" t="s">
        <v>360</v>
      </c>
      <c r="ED73" s="77" t="s">
        <v>378</v>
      </c>
      <c r="EE73" s="49">
        <f t="shared" si="96"/>
        <v>0</v>
      </c>
      <c r="EF73" s="78" t="str">
        <f t="shared" si="97"/>
        <v>- - -</v>
      </c>
      <c r="EG73" s="48" t="s">
        <v>342</v>
      </c>
      <c r="EH73" s="49" t="s">
        <v>360</v>
      </c>
      <c r="EI73" s="179" t="s">
        <v>343</v>
      </c>
      <c r="EJ73" s="49" t="s">
        <v>360</v>
      </c>
      <c r="EK73" s="77" t="s">
        <v>378</v>
      </c>
      <c r="EL73" s="35"/>
      <c r="EM73" s="55" t="str">
        <f t="shared" si="89"/>
        <v>- - -</v>
      </c>
      <c r="EN73" s="79" t="str">
        <f t="shared" si="90"/>
        <v>---</v>
      </c>
      <c r="EO73" s="91"/>
      <c r="EP73" s="80"/>
      <c r="EQ73" s="80"/>
      <c r="ER73" s="80"/>
      <c r="ES73" s="80"/>
      <c r="ET73" s="80"/>
      <c r="EU73" s="80"/>
      <c r="EV73" s="80"/>
      <c r="EW73" s="80"/>
      <c r="EX73" s="80"/>
      <c r="EY73" s="80"/>
      <c r="EZ73" s="80"/>
      <c r="FA73" s="80"/>
      <c r="FB73" s="80"/>
      <c r="FC73" s="80"/>
      <c r="FD73" s="80"/>
      <c r="FE73" s="80"/>
      <c r="FF73" s="80"/>
      <c r="FG73" s="80"/>
      <c r="FH73" s="80"/>
      <c r="FI73" s="80"/>
      <c r="FJ73" s="80"/>
      <c r="FK73" s="80"/>
      <c r="FL73" s="80"/>
      <c r="FM73" s="80"/>
      <c r="FN73" s="80"/>
      <c r="FO73" s="80"/>
      <c r="FP73" s="80"/>
      <c r="FQ73" s="80"/>
      <c r="FR73" s="80"/>
    </row>
    <row r="74" spans="1:174" s="80" customFormat="1" ht="11.25" customHeight="1" x14ac:dyDescent="0.25">
      <c r="A74" s="101">
        <v>821</v>
      </c>
      <c r="B74" s="371">
        <v>22</v>
      </c>
      <c r="C74" s="35"/>
      <c r="D74" s="35" t="str">
        <f t="shared" si="48"/>
        <v>Bà</v>
      </c>
      <c r="E74" s="40" t="s">
        <v>568</v>
      </c>
      <c r="F74" s="35" t="s">
        <v>381</v>
      </c>
      <c r="G74" s="64" t="s">
        <v>383</v>
      </c>
      <c r="H74" s="620" t="s">
        <v>360</v>
      </c>
      <c r="I74" s="64" t="s">
        <v>376</v>
      </c>
      <c r="J74" s="620" t="s">
        <v>360</v>
      </c>
      <c r="K74" s="40">
        <v>1973</v>
      </c>
      <c r="L74" s="193" t="s">
        <v>452</v>
      </c>
      <c r="M74" s="652" t="str">
        <f t="shared" si="49"/>
        <v>VC</v>
      </c>
      <c r="N74" s="199"/>
      <c r="O74" s="621" t="e">
        <f t="shared" si="50"/>
        <v>#N/A</v>
      </c>
      <c r="P74" s="40"/>
      <c r="Q74" s="371" t="e">
        <f>VLOOKUP(P74,'[1]- DLiêu Gốc (Không sửa)'!$C$2:$H$116,2,0)</f>
        <v>#N/A</v>
      </c>
      <c r="R74" s="40" t="s">
        <v>569</v>
      </c>
      <c r="S74" s="646" t="s">
        <v>122</v>
      </c>
      <c r="T74" s="38" t="str">
        <f>VLOOKUP(Y74,'Du lieu lien quan'!$C$2:$H$60,5,0)</f>
        <v>A2</v>
      </c>
      <c r="U74" s="39" t="str">
        <f>VLOOKUP(Y74,'Du lieu lien quan'!$C$2:$H$60,6,0)</f>
        <v>A2.1</v>
      </c>
      <c r="V74" s="663" t="s">
        <v>424</v>
      </c>
      <c r="W74" s="370" t="str">
        <f t="shared" si="51"/>
        <v>Giảng viên chính (hạng II)</v>
      </c>
      <c r="X74" s="98" t="str">
        <f t="shared" si="52"/>
        <v>V.07.01.02</v>
      </c>
      <c r="Y74" s="397" t="s">
        <v>431</v>
      </c>
      <c r="Z74" s="397" t="str">
        <f>VLOOKUP(Y74,'Du lieu lien quan'!$C$1:$H$133,2,0)</f>
        <v>V.07.01.02</v>
      </c>
      <c r="AA74" s="52" t="str">
        <f t="shared" si="53"/>
        <v>Lương</v>
      </c>
      <c r="AB74" s="175">
        <v>0</v>
      </c>
      <c r="AC74" s="495" t="str">
        <f>IF(AD74&gt;0,"/")</f>
        <v>/</v>
      </c>
      <c r="AD74" s="43">
        <f>IF(OR(BE74=0.18,BE74=0.2),12,IF(BE74=0.31,10,IF(BE74=0.33,9,IF(BE74=0.34,8,IF(BE74=0.36,6)))))</f>
        <v>8</v>
      </c>
      <c r="AE74" s="54">
        <f t="shared" si="54"/>
        <v>4.0600000000000005</v>
      </c>
      <c r="AF74" s="411"/>
      <c r="AG74" s="46"/>
      <c r="AH74" s="506"/>
      <c r="AI74" s="493" t="s">
        <v>360</v>
      </c>
      <c r="AJ74" s="46"/>
      <c r="AK74" s="493" t="s">
        <v>360</v>
      </c>
      <c r="AL74" s="507"/>
      <c r="AM74" s="149"/>
      <c r="AN74" s="53"/>
      <c r="AO74" s="324">
        <f t="shared" si="55"/>
        <v>1</v>
      </c>
      <c r="AP74" s="256" t="str">
        <f t="shared" si="56"/>
        <v>/</v>
      </c>
      <c r="AQ74" s="87">
        <f t="shared" si="57"/>
        <v>8</v>
      </c>
      <c r="AR74" s="47">
        <f t="shared" si="58"/>
        <v>4.4000000000000004</v>
      </c>
      <c r="AS74" s="413"/>
      <c r="AT74" s="48" t="s">
        <v>342</v>
      </c>
      <c r="AU74" s="484" t="s">
        <v>360</v>
      </c>
      <c r="AV74" s="49" t="s">
        <v>342</v>
      </c>
      <c r="AW74" s="484" t="s">
        <v>360</v>
      </c>
      <c r="AX74" s="50">
        <v>2021</v>
      </c>
      <c r="AY74" s="91"/>
      <c r="AZ74" s="469" t="s">
        <v>592</v>
      </c>
      <c r="BA74" s="480">
        <v>1.18</v>
      </c>
      <c r="BB74" s="51">
        <f t="shared" si="59"/>
        <v>3</v>
      </c>
      <c r="BC74" s="328">
        <f t="shared" si="60"/>
        <v>-24253</v>
      </c>
      <c r="BD74" s="280">
        <f>VLOOKUP(Y74,'Du lieu lien quan'!$C$1:$F$60,3,0)</f>
        <v>4.4000000000000004</v>
      </c>
      <c r="BE74" s="280">
        <f>VLOOKUP(Y74,'Du lieu lien quan'!$C$1:$F$60,4,0)</f>
        <v>0.34</v>
      </c>
      <c r="BF74" s="57" t="str">
        <f t="shared" si="61"/>
        <v>PCTN</v>
      </c>
      <c r="BG74" s="58">
        <v>15</v>
      </c>
      <c r="BH74" s="424" t="s">
        <v>333</v>
      </c>
      <c r="BI74" s="60" t="s">
        <v>342</v>
      </c>
      <c r="BJ74" s="489" t="s">
        <v>360</v>
      </c>
      <c r="BK74" s="422" t="s">
        <v>372</v>
      </c>
      <c r="BL74" s="489" t="s">
        <v>360</v>
      </c>
      <c r="BM74" s="40">
        <v>2021</v>
      </c>
      <c r="BN74" s="149"/>
      <c r="BO74" s="62"/>
      <c r="BP74" s="59">
        <f t="shared" si="62"/>
        <v>16</v>
      </c>
      <c r="BQ74" s="431" t="s">
        <v>333</v>
      </c>
      <c r="BR74" s="60" t="s">
        <v>342</v>
      </c>
      <c r="BS74" s="484" t="s">
        <v>360</v>
      </c>
      <c r="BT74" s="420" t="s">
        <v>372</v>
      </c>
      <c r="BU74" s="484" t="s">
        <v>360</v>
      </c>
      <c r="BV74" s="40">
        <v>2022</v>
      </c>
      <c r="BW74" s="61" t="s">
        <v>590</v>
      </c>
      <c r="BX74" s="161"/>
      <c r="BY74" s="329">
        <f t="shared" si="63"/>
        <v>-24274</v>
      </c>
      <c r="BZ74" s="57" t="str">
        <f t="shared" si="95"/>
        <v>- - -</v>
      </c>
      <c r="CA74" s="392" t="str">
        <f t="shared" si="65"/>
        <v>Chánh Văn phòng Học viện, Trưởng Ban Tổ chức - Cán bộ, Trưởng Khoa Quản lý nhà nước về Xã hội</v>
      </c>
      <c r="CB74" s="63" t="str">
        <f t="shared" si="66"/>
        <v>A</v>
      </c>
      <c r="CC74" s="41" t="str">
        <f t="shared" si="67"/>
        <v>=&gt; s</v>
      </c>
      <c r="CD74" s="52">
        <f t="shared" si="68"/>
        <v>24277</v>
      </c>
      <c r="CE74" s="35" t="str">
        <f t="shared" si="69"/>
        <v>---</v>
      </c>
      <c r="CF74" s="35"/>
      <c r="CG74" s="242"/>
      <c r="CH74" s="35"/>
      <c r="CI74" s="35"/>
      <c r="CJ74" s="35" t="str">
        <f t="shared" si="70"/>
        <v>- - -</v>
      </c>
      <c r="CK74" s="55" t="str">
        <f t="shared" si="71"/>
        <v>- - -</v>
      </c>
      <c r="CL74" s="65"/>
      <c r="CM74" s="66"/>
      <c r="CN74" s="65"/>
      <c r="CO74" s="84"/>
      <c r="CP74" s="55" t="str">
        <f t="shared" si="72"/>
        <v>CN</v>
      </c>
      <c r="CQ74" s="65">
        <v>6</v>
      </c>
      <c r="CR74" s="66">
        <v>2013</v>
      </c>
      <c r="CS74" s="65"/>
      <c r="CT74" s="84"/>
      <c r="CU74" s="69" t="str">
        <f t="shared" si="73"/>
        <v>---</v>
      </c>
      <c r="CV74" s="70" t="str">
        <f t="shared" si="74"/>
        <v>/-/ /-/</v>
      </c>
      <c r="CW74" s="67">
        <f t="shared" si="75"/>
        <v>2</v>
      </c>
      <c r="CX74" s="68">
        <f t="shared" si="76"/>
        <v>2028</v>
      </c>
      <c r="CY74" s="67">
        <f t="shared" si="77"/>
        <v>11</v>
      </c>
      <c r="CZ74" s="68">
        <f t="shared" si="78"/>
        <v>2027</v>
      </c>
      <c r="DA74" s="67">
        <f t="shared" si="79"/>
        <v>8</v>
      </c>
      <c r="DB74" s="68">
        <f t="shared" si="80"/>
        <v>2027</v>
      </c>
      <c r="DC74" s="71" t="str">
        <f t="shared" si="81"/>
        <v>- - -</v>
      </c>
      <c r="DD74" s="72" t="str">
        <f t="shared" si="82"/>
        <v>. .</v>
      </c>
      <c r="DE74" s="72"/>
      <c r="DF74" s="52">
        <f t="shared" si="83"/>
        <v>660</v>
      </c>
      <c r="DG74" s="52">
        <f t="shared" si="84"/>
        <v>-23665</v>
      </c>
      <c r="DH74" s="52">
        <f t="shared" si="85"/>
        <v>-1973</v>
      </c>
      <c r="DI74" s="52" t="str">
        <f t="shared" si="86"/>
        <v>Nữ dưới 30</v>
      </c>
      <c r="DJ74" s="52"/>
      <c r="DK74" s="52"/>
      <c r="DL74" s="57" t="str">
        <f t="shared" si="87"/>
        <v>Đến 30</v>
      </c>
      <c r="DM74" s="65" t="str">
        <f t="shared" si="88"/>
        <v>--</v>
      </c>
      <c r="DN74" s="36"/>
      <c r="DO74" s="35" t="s">
        <v>268</v>
      </c>
      <c r="DP74" s="158">
        <v>6</v>
      </c>
      <c r="DQ74" s="36">
        <v>2013</v>
      </c>
      <c r="DR74" s="36"/>
      <c r="DS74" s="74"/>
      <c r="DT74" s="40"/>
      <c r="DU74" s="76"/>
      <c r="DV74" s="91"/>
      <c r="DW74" s="37" t="s">
        <v>73</v>
      </c>
      <c r="DX74" s="391" t="s">
        <v>416</v>
      </c>
      <c r="DY74" s="37" t="s">
        <v>73</v>
      </c>
      <c r="DZ74" s="48" t="s">
        <v>342</v>
      </c>
      <c r="EA74" s="49" t="s">
        <v>360</v>
      </c>
      <c r="EB74" s="49" t="s">
        <v>349</v>
      </c>
      <c r="EC74" s="49" t="s">
        <v>360</v>
      </c>
      <c r="ED74" s="77">
        <v>2012</v>
      </c>
      <c r="EE74" s="49">
        <f t="shared" si="96"/>
        <v>0</v>
      </c>
      <c r="EF74" s="78" t="str">
        <f t="shared" si="97"/>
        <v>- - -</v>
      </c>
      <c r="EG74" s="48" t="s">
        <v>342</v>
      </c>
      <c r="EH74" s="49" t="s">
        <v>360</v>
      </c>
      <c r="EI74" s="49" t="s">
        <v>349</v>
      </c>
      <c r="EJ74" s="49" t="s">
        <v>360</v>
      </c>
      <c r="EK74" s="77">
        <v>2012</v>
      </c>
      <c r="EL74" s="35"/>
      <c r="EM74" s="55">
        <f t="shared" si="89"/>
        <v>3.74</v>
      </c>
      <c r="EN74" s="79" t="str">
        <f t="shared" si="90"/>
        <v>---</v>
      </c>
      <c r="EO74" s="91"/>
    </row>
    <row r="75" spans="1:174" s="80" customFormat="1" ht="11.25" customHeight="1" x14ac:dyDescent="0.25">
      <c r="A75" s="101">
        <v>704</v>
      </c>
      <c r="B75" s="371">
        <v>46</v>
      </c>
      <c r="C75" s="35"/>
      <c r="D75" s="35" t="str">
        <f t="shared" ref="D75:D77" si="98">IF(F75="Nam","Ông","Bà")</f>
        <v>Bà</v>
      </c>
      <c r="E75" s="40" t="s">
        <v>87</v>
      </c>
      <c r="F75" s="35" t="s">
        <v>381</v>
      </c>
      <c r="G75" s="64" t="s">
        <v>287</v>
      </c>
      <c r="H75" s="620" t="s">
        <v>360</v>
      </c>
      <c r="I75" s="64" t="s">
        <v>350</v>
      </c>
      <c r="J75" s="620" t="s">
        <v>360</v>
      </c>
      <c r="K75" s="40">
        <v>1970</v>
      </c>
      <c r="L75" s="193" t="s">
        <v>452</v>
      </c>
      <c r="M75" s="652" t="str">
        <f t="shared" ref="M75:M77" si="99">IF(L75="công chức","CC",IF(L75="viên chức","VC",IF(L75="người lao động","NLĐ","- - -")))</f>
        <v>VC</v>
      </c>
      <c r="N75" s="199"/>
      <c r="O75" s="621" t="e">
        <f t="shared" ref="O75:O77" si="100">IF(AND((Q75+0)&gt;0.3,(Q75+0)&lt;1.5),"CVụ","- -")</f>
        <v>#VALUE!</v>
      </c>
      <c r="P75" s="40" t="s">
        <v>256</v>
      </c>
      <c r="Q75" s="371" t="str">
        <f>VLOOKUP(P75,'[1]- DLiêu Gốc (Không sửa)'!$C$2:$H$116,2,0)</f>
        <v>0,4</v>
      </c>
      <c r="R75" s="40" t="s">
        <v>570</v>
      </c>
      <c r="S75" s="646" t="s">
        <v>557</v>
      </c>
      <c r="T75" s="38" t="str">
        <f>VLOOKUP(Y75,'Du lieu lien quan'!$C$2:$H$60,5,0)</f>
        <v>A2</v>
      </c>
      <c r="U75" s="39" t="str">
        <f>VLOOKUP(Y75,'Du lieu lien quan'!$C$2:$H$60,6,0)</f>
        <v>A2.1</v>
      </c>
      <c r="V75" s="663" t="s">
        <v>424</v>
      </c>
      <c r="W75" s="370" t="str">
        <f t="shared" ref="W75:W77" si="101">IF(OR(Y75="Kỹ thuật viên đánh máy",Y75="Nhân viên đánh máy",Y75="Nhân viên kỹ thuật",Y75="Nhân viên văn thư",Y75="Nhân viên phục vụ",Y75="Lái xe cơ quan",Y75="Nhân viên bảo vệ"),"Nhân viên",Y75)</f>
        <v>Giảng viên chính (hạng II)</v>
      </c>
      <c r="X75" s="98" t="str">
        <f t="shared" ref="X75:X77" si="102">IF(W75="Nhân viên","01.005",Z75)</f>
        <v>V.07.01.02</v>
      </c>
      <c r="Y75" s="397" t="s">
        <v>431</v>
      </c>
      <c r="Z75" s="397" t="str">
        <f>VLOOKUP(Y75,'Du lieu lien quan'!$C$1:$H$133,2,0)</f>
        <v>V.07.01.02</v>
      </c>
      <c r="AA75" s="52" t="str">
        <f t="shared" ref="AA75:AA77" si="103">IF(OR(AND(BC75=36,BB75=3),AND(BC75=24,BB75=2),AND(BC75=12,BB75=1)),"Đến $",IF(OR(AND(BC75&gt;36,BB75=3),AND(BC75&gt;24,BB75=2),AND(BC75&gt;12,BB75=1)),"Dừng $","Lương"))</f>
        <v>Lương</v>
      </c>
      <c r="AB75" s="175">
        <v>4</v>
      </c>
      <c r="AC75" s="495" t="s">
        <v>360</v>
      </c>
      <c r="AD75" s="43">
        <v>8</v>
      </c>
      <c r="AE75" s="54">
        <f t="shared" ref="AE75:AE77" si="104">BD75+(AB75-1)*BE75</f>
        <v>5.42</v>
      </c>
      <c r="AF75" s="411"/>
      <c r="AG75" s="46"/>
      <c r="AH75" s="506" t="s">
        <v>342</v>
      </c>
      <c r="AI75" s="531" t="s">
        <v>360</v>
      </c>
      <c r="AJ75" s="46" t="s">
        <v>349</v>
      </c>
      <c r="AK75" s="493" t="s">
        <v>360</v>
      </c>
      <c r="AL75" s="2200" t="s">
        <v>645</v>
      </c>
      <c r="AM75" s="149"/>
      <c r="AN75" s="53"/>
      <c r="AO75" s="324">
        <f t="shared" ref="AO75:AO77" si="105">AB75+1</f>
        <v>5</v>
      </c>
      <c r="AP75" s="256" t="str">
        <f t="shared" ref="AP75:AP77" si="106">IF(AD75=AB75,"%",IF(AD75&gt;AB75,"/"))</f>
        <v>/</v>
      </c>
      <c r="AQ75" s="87">
        <f t="shared" ref="AQ75:AQ77" si="107">IF(AND(AD75=AB75,AO75=4),5,IF(AND(AD75=AB75,AO75&gt;4),AO75+1,IF(AD75&gt;AB75,AD75)))</f>
        <v>8</v>
      </c>
      <c r="AR75" s="47">
        <f t="shared" ref="AR75:AR77" si="108">IF(AD75=AB75,"%",IF(AD75&gt;AB75,AE75+BE75))</f>
        <v>5.76</v>
      </c>
      <c r="AS75" s="47"/>
      <c r="AT75" s="48" t="s">
        <v>342</v>
      </c>
      <c r="AU75" s="492" t="s">
        <v>360</v>
      </c>
      <c r="AV75" s="49" t="s">
        <v>349</v>
      </c>
      <c r="AW75" s="484" t="s">
        <v>360</v>
      </c>
      <c r="AX75" s="50">
        <v>2021</v>
      </c>
      <c r="AY75" s="91"/>
      <c r="AZ75" s="469" t="s">
        <v>581</v>
      </c>
      <c r="BA75" s="480"/>
      <c r="BB75" s="51">
        <f t="shared" ref="BB75:BB77" si="109">IF(AND(AD75&gt;AB75,OR(BE75=0.18,BE75=0.2)),2,IF(AND(AD75&gt;AB75,OR(BE75=0.31,BE75=0.33,BE75=0.34,BE75=0.36)),3,IF(AD75=AB75,1)))</f>
        <v>3</v>
      </c>
      <c r="BC75" s="328">
        <f t="shared" ref="BC75:BC77" si="110">12*($AA$2-AX75)+($AA$3-AV75)-AM75</f>
        <v>-24261</v>
      </c>
      <c r="BD75" s="280">
        <f>VLOOKUP(Y75,'Du lieu lien quan'!$C$1:$F$60,3,0)</f>
        <v>4.4000000000000004</v>
      </c>
      <c r="BE75" s="280">
        <f>VLOOKUP(Y75,'Du lieu lien quan'!$C$1:$F$60,4,0)</f>
        <v>0.34</v>
      </c>
      <c r="BF75" s="57" t="str">
        <f t="shared" ref="BF75:BF77" si="111">IF(AND(BG75&gt;3,BY75=12),"Đến %",IF(AND(BG75&gt;3,BY75&gt;12,BY75&lt;120),"Dừng %",IF(AND(BG75&gt;3,BY75&lt;12),"PCTN","o-o-o")))</f>
        <v>PCTN</v>
      </c>
      <c r="BG75" s="58">
        <v>21</v>
      </c>
      <c r="BH75" s="424" t="s">
        <v>333</v>
      </c>
      <c r="BI75" s="60" t="s">
        <v>342</v>
      </c>
      <c r="BJ75" s="489" t="s">
        <v>360</v>
      </c>
      <c r="BK75" s="422">
        <v>9</v>
      </c>
      <c r="BL75" s="489" t="s">
        <v>360</v>
      </c>
      <c r="BM75" s="50">
        <v>2021</v>
      </c>
      <c r="BN75" s="149"/>
      <c r="BO75" s="62"/>
      <c r="BP75" s="59">
        <f t="shared" ref="BP75:BP77" si="112">IF(BG75&gt;3,BG75+1,0)</f>
        <v>22</v>
      </c>
      <c r="BQ75" s="429" t="s">
        <v>333</v>
      </c>
      <c r="BR75" s="60" t="s">
        <v>342</v>
      </c>
      <c r="BS75" s="484" t="s">
        <v>360</v>
      </c>
      <c r="BT75" s="420">
        <v>9</v>
      </c>
      <c r="BU75" s="484" t="s">
        <v>360</v>
      </c>
      <c r="BV75" s="40">
        <v>2022</v>
      </c>
      <c r="BW75" s="61"/>
      <c r="BX75" s="161"/>
      <c r="BY75" s="329">
        <f t="shared" ref="BY75:BY77" si="113">IF(BG75&gt;3,(($BF$2-BV75)*12+($BF$3-BT75)-BN75),"- - -")</f>
        <v>-24273</v>
      </c>
      <c r="BZ75" s="57" t="str">
        <f t="shared" ref="BZ75:BZ77" si="114">IF(AND(CV75="Hưu",BG75&gt;3),12-(12*(DB75-BV75)+(DA75-BT75))-BN75,"- - -")</f>
        <v>- - -</v>
      </c>
      <c r="CA75" s="392" t="str">
        <f t="shared" ref="CA75:CA77" si="115">IF(OR(S75="Ban Tổ chức - Cán bộ",S75="Văn phòng Học viện",S75="Phó Giám đốc Thường trực Học viện",S75="Phó Giám đốc Học viện"),"Chánh Văn phòng Học viện, Trưởng Ban Tổ chức - Cán bộ",IF(OR(S75="Trung tâm Ngoại ngữ",S75="Trung tâm Tin học hành chính và Công nghệ thông tin",S75="Trung tâm Tin học - Thư viện",S75="Phân viện khu vực Tây Nguyên"),"Chánh Văn phòng Học viện, Trưởng Ban Tổ chức - Cán bộ, "&amp;CONCATENATE("Giám đốc ",S75),IF(S75="Tạp chí Quản lý nhà nước","Chánh Văn phòng Học viện, Trưởng Ban Tổ chức - Cán bộ, "&amp;CONCATENATE("Tổng Biên tập ",S75),IF(S75="Văn phòng Đảng uỷ Học viện","Chánh Văn phòng Học viện, Trưởng Ban Tổ chức - Cán bộ, "&amp;CONCATENATE("Chánh",S75),IF(S75="Viện Nghiên cứu Khoa học hành chính","Chánh Văn phòng Học viện, Trưởng Ban Tổ chức - Cán bộ, "&amp;CONCATENATE("Viện Trưởng ",S75),IF(OR(S75="Cơ sở Học viện Hành chính Quốc gia khu vực miền Trung",S75="Cơ sở Học viện Hành chính Quốc gia tại Thành phố Hồ Chí Minh"),"Chánh Văn phòng Học viện, Trưởng Ban Tổ chức - Cán bộ, "&amp;CONCATENATE("Thủ trưởng ",S75),"Chánh Văn phòng Học viện, Trưởng Ban Tổ chức - Cán bộ, "&amp;CONCATENATE("Trưởng ",S75)))))))</f>
        <v>Chánh Văn phòng Học viện, Trưởng Ban Tổ chức - Cán bộ, Trưởng Phân viện Học viện Hành chính Quốc gia tại Thành phố Hồ Chí Minh</v>
      </c>
      <c r="CB75" s="63" t="str">
        <f t="shared" ref="CB75:CB77" si="116">IF(S75="Cơ sở Học viện Hành chính khu vực miền Trung","B",IF(S75="Phân viện Khu vực Tây Nguyên","C",IF(S75="Cơ sở Học viện Hành chính tại thành phố Hồ Chí Minh","D","A")))</f>
        <v>A</v>
      </c>
      <c r="CC75" s="41" t="str">
        <f t="shared" ref="CC75:CC77" si="117">IF(AND(AO75&gt;0,AB75&lt;(AD75-1),CD75&gt;0,CD75&lt;13,OR(AND(CJ75="Cùg Ng",($CC$2-CF75)&gt;BB75),CJ75="- - -")),"Sớm TT","=&gt; s")</f>
        <v>=&gt; s</v>
      </c>
      <c r="CD75" s="52">
        <f t="shared" ref="CD75:CD77" si="118">IF(BB75=3,36-(12*($CC$2-AX75)+(12-AV75)-AM75),IF(BB75=2,24-(12*($CC$2-AX75)+(12-AV75)-AM75),"---"))</f>
        <v>24285</v>
      </c>
      <c r="CE75" s="35" t="str">
        <f t="shared" ref="CE75:CE77" si="119">IF(CF75&gt;1,"S","---")</f>
        <v>S</v>
      </c>
      <c r="CF75" s="35">
        <v>2013</v>
      </c>
      <c r="CG75" s="242" t="s">
        <v>428</v>
      </c>
      <c r="CH75" s="35"/>
      <c r="CI75" s="35"/>
      <c r="CJ75" s="35" t="str">
        <f t="shared" ref="CJ75:CJ77" si="120">IF(X75=CG75,"Cùg Ng","- - -")</f>
        <v>Cùg Ng</v>
      </c>
      <c r="CK75" s="55" t="str">
        <f t="shared" ref="CK75:CK77" si="121">IF(CM75&gt;2000,"NN","- - -")</f>
        <v>NN</v>
      </c>
      <c r="CL75" s="65">
        <v>1</v>
      </c>
      <c r="CM75" s="66" t="s">
        <v>364</v>
      </c>
      <c r="CN75" s="65"/>
      <c r="CO75" s="84"/>
      <c r="CP75" s="55" t="str">
        <f t="shared" ref="CP75:CP77" si="122">IF(CR75&gt;2000,"CN","- - -")</f>
        <v>- - -</v>
      </c>
      <c r="CQ75" s="65"/>
      <c r="CR75" s="66"/>
      <c r="CS75" s="65"/>
      <c r="CT75" s="84"/>
      <c r="CU75" s="69" t="str">
        <f t="shared" ref="CU75:CU77" si="123">IF(AND(CV75="Hưu",AB75&lt;(AD75-1),DC75&gt;0,DC75&lt;18,OR(BG75&lt;4,AND(BG75&gt;3,OR(BZ75&lt;3,BZ75&gt;5)))),"Lg Sớm",IF(AND(CV75="Hưu",AB75&gt;(AD75-2),OR(BE75=0.33,BE75=0.34),OR(BG75&lt;4,AND(BG75&gt;3,OR(BZ75&lt;3,BZ75&gt;5)))),"Nâng Ngạch",IF(AND(CV75="Hưu",BB75=1,DC75&gt;2,DC75&lt;6,OR(BG75&lt;4,AND(BG75&gt;3,OR(BZ75&lt;3,BZ75&gt;5)))),"Nâng PcVK cùng QĐ",IF(AND(CV75="Hưu",BG75&gt;3,BZ75&gt;2,BZ75&lt;6,AB75&lt;(AD75-1),DC75&gt;17,OR(BB75&gt;1,AND(BB75=1,OR(DC75&lt;3,DC75&gt;5)))),"Nâng PcNG cùng QĐ",IF(AND(CV75="Hưu",AB75&lt;(AD75-1),DC75&gt;0,DC75&lt;18,BG75&gt;3,BZ75&gt;2,BZ75&lt;6),"Nâng Lg Sớm +(PcNG cùng QĐ)",IF(AND(CV75="Hưu",AB75&gt;(AD75-2),OR(BE75=0.33,BE75=0.34),BG75&gt;3,BZ75&gt;2,BZ75&lt;6),"Nâng Ngạch +(PcNG cùng QĐ)",IF(AND(CV75="Hưu",BB75=1,DC75&gt;2,DC75&lt;6,BG75&gt;3,BZ75&gt;2,BZ75&lt;6),"Nâng (PcVK +PcNG) cùng QĐ",("---"))))))))</f>
        <v>---</v>
      </c>
      <c r="CV75" s="70" t="str">
        <f t="shared" ref="CV75:CV77" si="124">IF(AND(DG75&gt;DF75,DG75&lt;(DF75+13)),"Hưu",IF(AND(DG75&gt;(DF75+12),DG75&lt;1000),"Quá","/-/ /-/"))</f>
        <v>/-/ /-/</v>
      </c>
      <c r="CW75" s="67">
        <f t="shared" ref="CW75:CW77" si="125">IF((I75+0)&lt;12,(I75+0)+1,IF((I75+0)=12,1,IF((I75+0)&gt;12,(I75+0)-12)))</f>
        <v>1</v>
      </c>
      <c r="CX75" s="68">
        <f t="shared" ref="CX75:CX77" si="126">IF(OR((I75+0)=12,(I75+0)&gt;12),K75+DF75/12+1,IF(AND((I75+0)&gt;0,(I75+0)&lt;12),K75+DF75/12,"---"))</f>
        <v>2026</v>
      </c>
      <c r="CY75" s="67">
        <f t="shared" ref="CY75:CY77" si="127">IF(AND(CW75&gt;3,CW75&lt;13),CW75-3,IF(CW75&lt;4,CW75-3+12))</f>
        <v>10</v>
      </c>
      <c r="CZ75" s="68">
        <f t="shared" ref="CZ75:CZ77" si="128">IF(CY75&lt;CW75,CX75,IF(CY75&gt;CW75,CX75-1))</f>
        <v>2025</v>
      </c>
      <c r="DA75" s="67">
        <f t="shared" ref="DA75:DA77" si="129">IF(CW75&gt;6,CW75-6,IF(CW75=6,12,IF(CW75&lt;6,CW75+6)))</f>
        <v>7</v>
      </c>
      <c r="DB75" s="68">
        <f t="shared" ref="DB75:DB77" si="130">IF(CW75&gt;6,CX75,IF(CW75&lt;7,CX75-1))</f>
        <v>2025</v>
      </c>
      <c r="DC75" s="71" t="str">
        <f t="shared" ref="DC75:DC77" si="131">IF(AND(CV75="Hưu",BB75=3),36+AM75-(12*(DB75-AX75)+(DA75-AV75)),IF(AND(CV75="Hưu",BB75=2),24+AM75-(12*(DB75-AX75)+(DA75-AV75)),IF(AND(CV75="Hưu",BB75=1),12+AM75-(12*(DB75-AX75)+(DA75-AV75)),"- - -")))</f>
        <v>- - -</v>
      </c>
      <c r="DD75" s="72" t="str">
        <f t="shared" ref="DD75:DD77" si="132">IF(DE75&gt;0,"K.Dài",". .")</f>
        <v>. .</v>
      </c>
      <c r="DE75" s="72"/>
      <c r="DF75" s="52">
        <f t="shared" ref="DF75:DF77" si="133">IF(F75="Nam",(60+DE75)*12,IF(F75="Nữ",(55+DE75)*12,))</f>
        <v>660</v>
      </c>
      <c r="DG75" s="52">
        <f t="shared" ref="DG75:DG77" si="134">12*($CV$4-K75)+(12-I75)</f>
        <v>-23640</v>
      </c>
      <c r="DH75" s="52">
        <f t="shared" ref="DH75:DH77" si="135">$DL$4-K75</f>
        <v>-1970</v>
      </c>
      <c r="DI75" s="52" t="str">
        <f t="shared" ref="DI75:DI77" si="136">IF(AND(DH75&lt;35,F75="Nam"),"Nam dưới 35",IF(AND(DH75&lt;30,F75="Nữ"),"Nữ dưới 30",IF(AND(DH75&gt;34,DH75&lt;46,F75="Nam"),"Nam từ 35 - 45",IF(AND(DH75&gt;29,DH75&lt;41,F75="Nữ"),"Nữ từ 30 - 40",IF(AND(DH75&gt;45,DH75&lt;56,F75="Nam"),"Nam trên 45 - 55",IF(AND(DH75&gt;40,DH75&lt;51,F75="Nữ"),"Nữ trên 40 - 50",IF(AND(DH75&gt;55,F75="Nam"),"Nam trên 55","Nữ trên 50")))))))</f>
        <v>Nữ dưới 30</v>
      </c>
      <c r="DJ75" s="52"/>
      <c r="DK75" s="52"/>
      <c r="DL75" s="57" t="str">
        <f t="shared" ref="DL75:DL77" si="137">IF(DH75&lt;31,"Đến 30",IF(AND(DH75&gt;30,DH75&lt;46),"31 - 45",IF(AND(DH75&gt;45,DH75&lt;70),"Trên 45")))</f>
        <v>Đến 30</v>
      </c>
      <c r="DM75" s="65" t="str">
        <f t="shared" ref="DM75:DM77" si="138">IF(DN75&gt;0,"TD","--")</f>
        <v>--</v>
      </c>
      <c r="DN75" s="36"/>
      <c r="DO75" s="89"/>
      <c r="DP75" s="158"/>
      <c r="DQ75" s="84"/>
      <c r="DR75" s="84"/>
      <c r="DS75" s="378"/>
      <c r="DT75" s="372"/>
      <c r="DU75" s="76"/>
      <c r="DV75" s="91"/>
      <c r="DW75" s="37" t="s">
        <v>88</v>
      </c>
      <c r="DX75" s="391" t="s">
        <v>416</v>
      </c>
      <c r="DY75" s="37" t="s">
        <v>88</v>
      </c>
      <c r="DZ75" s="385" t="s">
        <v>342</v>
      </c>
      <c r="EA75" s="49" t="s">
        <v>360</v>
      </c>
      <c r="EB75" s="183">
        <v>6</v>
      </c>
      <c r="EC75" s="49" t="s">
        <v>360</v>
      </c>
      <c r="ED75" s="77">
        <v>2013</v>
      </c>
      <c r="EE75" s="49">
        <f t="shared" ref="EE75:EE77" si="139">(DZ75+0)-(EG75+0)</f>
        <v>0</v>
      </c>
      <c r="EF75" s="78" t="str">
        <f t="shared" ref="EF75:EF77" si="140">IF(EE75&gt;0,"Sửa","- - -")</f>
        <v>- - -</v>
      </c>
      <c r="EG75" s="184" t="s">
        <v>342</v>
      </c>
      <c r="EH75" s="49" t="s">
        <v>360</v>
      </c>
      <c r="EI75" s="183">
        <v>6</v>
      </c>
      <c r="EJ75" s="49" t="s">
        <v>360</v>
      </c>
      <c r="EK75" s="77">
        <v>2013</v>
      </c>
      <c r="EL75" s="372">
        <v>3.66</v>
      </c>
      <c r="EM75" s="55" t="str">
        <f t="shared" ref="EM75:EM77" si="141">IF(AND(BE75&gt;0.34,AO75=1,OR(BD75=6.2,BD75=5.75)),((BD75-EL75)-2*0.34),IF(AND(BE75&gt;0.33,AO75=1,OR(BD75=4.4,BD75=4)),((BD75-EL75)-2*0.33),"- - -"))</f>
        <v>- - -</v>
      </c>
      <c r="EN75" s="79" t="str">
        <f t="shared" ref="EN75:EN77" si="142">IF(CV75="Hưu",12*(DB75-AX75)+(DA75-AV75),"---")</f>
        <v>---</v>
      </c>
      <c r="EO75" s="91"/>
    </row>
    <row r="76" spans="1:174" s="80" customFormat="1" ht="11.25" customHeight="1" x14ac:dyDescent="0.2">
      <c r="A76" s="101">
        <v>739</v>
      </c>
      <c r="B76" s="371">
        <v>97</v>
      </c>
      <c r="C76" s="35"/>
      <c r="D76" s="35" t="str">
        <f t="shared" si="98"/>
        <v>Bà</v>
      </c>
      <c r="E76" s="40" t="s">
        <v>94</v>
      </c>
      <c r="F76" s="35" t="s">
        <v>381</v>
      </c>
      <c r="G76" s="64" t="s">
        <v>275</v>
      </c>
      <c r="H76" s="620" t="s">
        <v>360</v>
      </c>
      <c r="I76" s="64" t="s">
        <v>350</v>
      </c>
      <c r="J76" s="620" t="s">
        <v>360</v>
      </c>
      <c r="K76" s="40">
        <v>1968</v>
      </c>
      <c r="L76" s="193" t="s">
        <v>452</v>
      </c>
      <c r="M76" s="652" t="str">
        <f t="shared" si="99"/>
        <v>VC</v>
      </c>
      <c r="N76" s="199"/>
      <c r="O76" s="621" t="e">
        <f t="shared" si="100"/>
        <v>#VALUE!</v>
      </c>
      <c r="P76" s="40" t="s">
        <v>255</v>
      </c>
      <c r="Q76" s="371" t="str">
        <f>VLOOKUP(P76,'[1]- DLiêu Gốc (Không sửa)'!$C$2:$H$116,2,0)</f>
        <v>0,6</v>
      </c>
      <c r="R76" s="40" t="s">
        <v>336</v>
      </c>
      <c r="S76" s="646" t="s">
        <v>557</v>
      </c>
      <c r="T76" s="38" t="str">
        <f>VLOOKUP(Y76,'Du lieu lien quan'!$C$2:$H$60,5,0)</f>
        <v>A3</v>
      </c>
      <c r="U76" s="39" t="str">
        <f>VLOOKUP(Y76,'Du lieu lien quan'!$C$2:$H$60,6,0)</f>
        <v>A3.1</v>
      </c>
      <c r="V76" s="663" t="s">
        <v>424</v>
      </c>
      <c r="W76" s="370" t="str">
        <f t="shared" si="101"/>
        <v>Giảng viên cao cấp (hạng I)</v>
      </c>
      <c r="X76" s="373" t="str">
        <f t="shared" si="102"/>
        <v>V.07.01.01</v>
      </c>
      <c r="Y76" s="397" t="s">
        <v>429</v>
      </c>
      <c r="Z76" s="397" t="str">
        <f>VLOOKUP(Y76,'Du lieu lien quan'!$C$1:$H$133,2,0)</f>
        <v>V.07.01.01</v>
      </c>
      <c r="AA76" s="52" t="str">
        <f t="shared" si="103"/>
        <v>Lương</v>
      </c>
      <c r="AB76" s="148">
        <v>1</v>
      </c>
      <c r="AC76" s="495" t="str">
        <f>IF(AD76&gt;0,"/")</f>
        <v>/</v>
      </c>
      <c r="AD76" s="43">
        <f>IF(OR(BE76=0.18,BE76=0.2),12,IF(BE76=0.31,10,IF(BE76=0.33,9,IF(BE76=0.34,8,IF(BE76=0.36,6)))))</f>
        <v>6</v>
      </c>
      <c r="AE76" s="44">
        <f t="shared" si="104"/>
        <v>6.2</v>
      </c>
      <c r="AF76" s="409"/>
      <c r="AG76" s="409"/>
      <c r="AH76" s="485" t="s">
        <v>342</v>
      </c>
      <c r="AI76" s="493" t="s">
        <v>360</v>
      </c>
      <c r="AJ76" s="688" t="s">
        <v>345</v>
      </c>
      <c r="AK76" s="493" t="s">
        <v>360</v>
      </c>
      <c r="AL76" s="494">
        <v>2018</v>
      </c>
      <c r="AM76" s="162"/>
      <c r="AN76" s="53"/>
      <c r="AO76" s="324">
        <f t="shared" si="105"/>
        <v>2</v>
      </c>
      <c r="AP76" s="256" t="str">
        <f t="shared" si="106"/>
        <v>/</v>
      </c>
      <c r="AQ76" s="87">
        <f t="shared" si="107"/>
        <v>6</v>
      </c>
      <c r="AR76" s="47">
        <f t="shared" si="108"/>
        <v>6.5600000000000005</v>
      </c>
      <c r="AS76" s="413"/>
      <c r="AT76" s="48" t="s">
        <v>342</v>
      </c>
      <c r="AU76" s="484" t="s">
        <v>360</v>
      </c>
      <c r="AV76" s="49" t="s">
        <v>332</v>
      </c>
      <c r="AW76" s="484" t="s">
        <v>360</v>
      </c>
      <c r="AX76" s="50">
        <v>2020</v>
      </c>
      <c r="AY76" s="91"/>
      <c r="AZ76" s="266" t="s">
        <v>631</v>
      </c>
      <c r="BA76" s="480"/>
      <c r="BB76" s="51">
        <f t="shared" si="109"/>
        <v>3</v>
      </c>
      <c r="BC76" s="328">
        <f t="shared" si="110"/>
        <v>-24249</v>
      </c>
      <c r="BD76" s="280">
        <f>VLOOKUP(Y76,'Du lieu lien quan'!$C$1:$F$60,3,0)</f>
        <v>6.2</v>
      </c>
      <c r="BE76" s="280">
        <f>VLOOKUP(Y76,'Du lieu lien quan'!$C$1:$F$60,4,0)</f>
        <v>0.36</v>
      </c>
      <c r="BF76" s="57" t="str">
        <f t="shared" si="111"/>
        <v>PCTN</v>
      </c>
      <c r="BG76" s="58">
        <v>24</v>
      </c>
      <c r="BH76" s="424" t="s">
        <v>333</v>
      </c>
      <c r="BI76" s="60" t="s">
        <v>342</v>
      </c>
      <c r="BJ76" s="489" t="s">
        <v>360</v>
      </c>
      <c r="BK76" s="422">
        <v>9</v>
      </c>
      <c r="BL76" s="489" t="s">
        <v>360</v>
      </c>
      <c r="BM76" s="50">
        <v>2021</v>
      </c>
      <c r="BN76" s="162"/>
      <c r="BO76" s="62"/>
      <c r="BP76" s="59">
        <f t="shared" si="112"/>
        <v>25</v>
      </c>
      <c r="BQ76" s="429" t="s">
        <v>333</v>
      </c>
      <c r="BR76" s="60" t="s">
        <v>342</v>
      </c>
      <c r="BS76" s="484" t="s">
        <v>360</v>
      </c>
      <c r="BT76" s="420">
        <v>9</v>
      </c>
      <c r="BU76" s="484" t="s">
        <v>360</v>
      </c>
      <c r="BV76" s="40">
        <v>2022</v>
      </c>
      <c r="BW76" s="61"/>
      <c r="BX76" s="161"/>
      <c r="BY76" s="329">
        <f t="shared" si="113"/>
        <v>-24273</v>
      </c>
      <c r="BZ76" s="57" t="str">
        <f t="shared" si="114"/>
        <v>- - -</v>
      </c>
      <c r="CA76" s="392" t="str">
        <f t="shared" si="115"/>
        <v>Chánh Văn phòng Học viện, Trưởng Ban Tổ chức - Cán bộ, Trưởng Phân viện Học viện Hành chính Quốc gia tại Thành phố Hồ Chí Minh</v>
      </c>
      <c r="CB76" s="63" t="str">
        <f t="shared" si="116"/>
        <v>A</v>
      </c>
      <c r="CC76" s="41" t="str">
        <f t="shared" si="117"/>
        <v>=&gt; s</v>
      </c>
      <c r="CD76" s="52">
        <f t="shared" si="118"/>
        <v>24273</v>
      </c>
      <c r="CE76" s="35" t="str">
        <f t="shared" si="119"/>
        <v>---</v>
      </c>
      <c r="CF76" s="35"/>
      <c r="CG76" s="379"/>
      <c r="CH76" s="35"/>
      <c r="CI76" s="35"/>
      <c r="CJ76" s="35" t="str">
        <f t="shared" si="120"/>
        <v>- - -</v>
      </c>
      <c r="CK76" s="55" t="str">
        <f t="shared" si="121"/>
        <v>NN</v>
      </c>
      <c r="CL76" s="65">
        <v>2</v>
      </c>
      <c r="CM76" s="66">
        <v>2018</v>
      </c>
      <c r="CN76" s="65"/>
      <c r="CO76" s="84">
        <v>2012</v>
      </c>
      <c r="CP76" s="55" t="str">
        <f t="shared" si="122"/>
        <v>- - -</v>
      </c>
      <c r="CQ76" s="65"/>
      <c r="CR76" s="66"/>
      <c r="CS76" s="65"/>
      <c r="CT76" s="84"/>
      <c r="CU76" s="69" t="str">
        <f t="shared" si="123"/>
        <v>---</v>
      </c>
      <c r="CV76" s="70" t="str">
        <f t="shared" si="124"/>
        <v>/-/ /-/</v>
      </c>
      <c r="CW76" s="67">
        <f t="shared" si="125"/>
        <v>1</v>
      </c>
      <c r="CX76" s="68">
        <f t="shared" si="126"/>
        <v>2024</v>
      </c>
      <c r="CY76" s="67">
        <f t="shared" si="127"/>
        <v>10</v>
      </c>
      <c r="CZ76" s="68">
        <f t="shared" si="128"/>
        <v>2023</v>
      </c>
      <c r="DA76" s="67">
        <f t="shared" si="129"/>
        <v>7</v>
      </c>
      <c r="DB76" s="68">
        <f t="shared" si="130"/>
        <v>2023</v>
      </c>
      <c r="DC76" s="71" t="str">
        <f t="shared" si="131"/>
        <v>- - -</v>
      </c>
      <c r="DD76" s="72" t="str">
        <f t="shared" si="132"/>
        <v>. .</v>
      </c>
      <c r="DE76" s="72"/>
      <c r="DF76" s="52">
        <f t="shared" si="133"/>
        <v>660</v>
      </c>
      <c r="DG76" s="52">
        <f t="shared" si="134"/>
        <v>-23616</v>
      </c>
      <c r="DH76" s="52">
        <f t="shared" si="135"/>
        <v>-1968</v>
      </c>
      <c r="DI76" s="52" t="str">
        <f t="shared" si="136"/>
        <v>Nữ dưới 30</v>
      </c>
      <c r="DJ76" s="52"/>
      <c r="DK76" s="52"/>
      <c r="DL76" s="57" t="str">
        <f t="shared" si="137"/>
        <v>Đến 30</v>
      </c>
      <c r="DM76" s="65" t="str">
        <f t="shared" si="138"/>
        <v>--</v>
      </c>
      <c r="DN76" s="36"/>
      <c r="DO76" s="35"/>
      <c r="DP76" s="73"/>
      <c r="DQ76" s="36"/>
      <c r="DR76" s="84"/>
      <c r="DS76" s="85"/>
      <c r="DT76" s="86"/>
      <c r="DU76" s="76"/>
      <c r="DV76" s="91"/>
      <c r="DW76" s="37" t="s">
        <v>148</v>
      </c>
      <c r="DX76" s="391" t="s">
        <v>416</v>
      </c>
      <c r="DY76" s="37" t="s">
        <v>148</v>
      </c>
      <c r="DZ76" s="48" t="s">
        <v>342</v>
      </c>
      <c r="EA76" s="49" t="s">
        <v>360</v>
      </c>
      <c r="EB76" s="49" t="s">
        <v>348</v>
      </c>
      <c r="EC76" s="49" t="s">
        <v>360</v>
      </c>
      <c r="ED76" s="77">
        <v>2012</v>
      </c>
      <c r="EE76" s="49">
        <f t="shared" si="139"/>
        <v>0</v>
      </c>
      <c r="EF76" s="78" t="str">
        <f t="shared" si="140"/>
        <v>- - -</v>
      </c>
      <c r="EG76" s="48" t="s">
        <v>342</v>
      </c>
      <c r="EH76" s="49" t="s">
        <v>360</v>
      </c>
      <c r="EI76" s="49" t="s">
        <v>348</v>
      </c>
      <c r="EJ76" s="49" t="s">
        <v>360</v>
      </c>
      <c r="EK76" s="77">
        <v>2012</v>
      </c>
      <c r="EL76" s="35">
        <v>3.66</v>
      </c>
      <c r="EM76" s="55" t="str">
        <f t="shared" si="141"/>
        <v>- - -</v>
      </c>
      <c r="EN76" s="79" t="str">
        <f t="shared" si="142"/>
        <v>---</v>
      </c>
      <c r="EO76" s="91"/>
      <c r="FN76" s="680"/>
      <c r="FO76" s="680"/>
      <c r="FP76" s="680"/>
      <c r="FQ76" s="680"/>
      <c r="FR76" s="680"/>
    </row>
    <row r="77" spans="1:174" s="80" customFormat="1" ht="11.25" customHeight="1" x14ac:dyDescent="0.25">
      <c r="A77" s="101">
        <v>757</v>
      </c>
      <c r="B77" s="371">
        <v>51</v>
      </c>
      <c r="C77" s="35"/>
      <c r="D77" s="35" t="str">
        <f t="shared" si="98"/>
        <v>Bà</v>
      </c>
      <c r="E77" s="40" t="s">
        <v>296</v>
      </c>
      <c r="F77" s="35" t="s">
        <v>381</v>
      </c>
      <c r="G77" s="64" t="s">
        <v>281</v>
      </c>
      <c r="H77" s="620" t="s">
        <v>360</v>
      </c>
      <c r="I77" s="64">
        <v>5</v>
      </c>
      <c r="J77" s="620" t="s">
        <v>360</v>
      </c>
      <c r="K77" s="40">
        <v>1979</v>
      </c>
      <c r="L77" s="193" t="s">
        <v>452</v>
      </c>
      <c r="M77" s="652" t="str">
        <f t="shared" si="99"/>
        <v>VC</v>
      </c>
      <c r="N77" s="199"/>
      <c r="O77" s="621" t="e">
        <f t="shared" si="100"/>
        <v>#VALUE!</v>
      </c>
      <c r="P77" s="40" t="s">
        <v>256</v>
      </c>
      <c r="Q77" s="371" t="str">
        <f>VLOOKUP(P77,'[1]- DLiêu Gốc (Không sửa)'!$C$2:$H$116,2,0)</f>
        <v>0,4</v>
      </c>
      <c r="R77" s="40" t="s">
        <v>564</v>
      </c>
      <c r="S77" s="646" t="s">
        <v>557</v>
      </c>
      <c r="T77" s="38" t="str">
        <f>VLOOKUP(Y77,'Du lieu lien quan'!$C$2:$H$60,5,0)</f>
        <v>A1</v>
      </c>
      <c r="U77" s="39" t="str">
        <f>VLOOKUP(Y77,'Du lieu lien quan'!$C$2:$H$60,6,0)</f>
        <v>- - -</v>
      </c>
      <c r="V77" s="663" t="s">
        <v>424</v>
      </c>
      <c r="W77" s="370" t="str">
        <f t="shared" si="101"/>
        <v>Giảng viên (hạng III)</v>
      </c>
      <c r="X77" s="98" t="str">
        <f t="shared" si="102"/>
        <v>V.07.01.03</v>
      </c>
      <c r="Y77" s="397" t="s">
        <v>430</v>
      </c>
      <c r="Z77" s="397" t="str">
        <f>VLOOKUP(Y77,'Du lieu lien quan'!$C$1:$H$133,2,0)</f>
        <v>V.07.01.03</v>
      </c>
      <c r="AA77" s="52" t="str">
        <f t="shared" si="103"/>
        <v>Lương</v>
      </c>
      <c r="AB77" s="175">
        <v>6</v>
      </c>
      <c r="AC77" s="495" t="str">
        <f>IF(AD77&gt;0,"/")</f>
        <v>/</v>
      </c>
      <c r="AD77" s="43">
        <f>IF(OR(BE77=0.18,BE77=0.2),12,IF(BE77=0.31,10,IF(BE77=0.33,9,IF(BE77=0.34,8,IF(BE77=0.36,6)))))</f>
        <v>9</v>
      </c>
      <c r="AE77" s="54">
        <f t="shared" si="104"/>
        <v>3.99</v>
      </c>
      <c r="AF77" s="411"/>
      <c r="AG77" s="46"/>
      <c r="AH77" s="506"/>
      <c r="AI77" s="531" t="s">
        <v>360</v>
      </c>
      <c r="AJ77" s="46"/>
      <c r="AK77" s="493" t="s">
        <v>360</v>
      </c>
      <c r="AL77" s="507"/>
      <c r="AM77" s="149"/>
      <c r="AN77" s="53"/>
      <c r="AO77" s="324">
        <f t="shared" si="105"/>
        <v>7</v>
      </c>
      <c r="AP77" s="256" t="str">
        <f t="shared" si="106"/>
        <v>/</v>
      </c>
      <c r="AQ77" s="87">
        <f t="shared" si="107"/>
        <v>9</v>
      </c>
      <c r="AR77" s="47">
        <f t="shared" si="108"/>
        <v>4.32</v>
      </c>
      <c r="AS77" s="413"/>
      <c r="AT77" s="48" t="s">
        <v>342</v>
      </c>
      <c r="AU77" s="492" t="s">
        <v>360</v>
      </c>
      <c r="AV77" s="49" t="s">
        <v>327</v>
      </c>
      <c r="AW77" s="484" t="s">
        <v>360</v>
      </c>
      <c r="AX77" s="50">
        <v>2020</v>
      </c>
      <c r="AY77" s="91"/>
      <c r="AZ77" s="469" t="s">
        <v>630</v>
      </c>
      <c r="BA77" s="480">
        <v>1.18</v>
      </c>
      <c r="BB77" s="51">
        <f t="shared" si="109"/>
        <v>3</v>
      </c>
      <c r="BC77" s="328">
        <f t="shared" si="110"/>
        <v>-24247</v>
      </c>
      <c r="BD77" s="280">
        <f>VLOOKUP(Y77,'Du lieu lien quan'!$C$1:$F$60,3,0)</f>
        <v>2.34</v>
      </c>
      <c r="BE77" s="280">
        <f>VLOOKUP(Y77,'Du lieu lien quan'!$C$1:$F$60,4,0)</f>
        <v>0.33</v>
      </c>
      <c r="BF77" s="57" t="str">
        <f t="shared" si="111"/>
        <v>PCTN</v>
      </c>
      <c r="BG77" s="58">
        <v>15</v>
      </c>
      <c r="BH77" s="424" t="s">
        <v>333</v>
      </c>
      <c r="BI77" s="60" t="s">
        <v>342</v>
      </c>
      <c r="BJ77" s="489" t="s">
        <v>360</v>
      </c>
      <c r="BK77" s="422" t="s">
        <v>349</v>
      </c>
      <c r="BL77" s="489" t="s">
        <v>360</v>
      </c>
      <c r="BM77" s="50">
        <v>2021</v>
      </c>
      <c r="BN77" s="149"/>
      <c r="BO77" s="62"/>
      <c r="BP77" s="59">
        <f t="shared" si="112"/>
        <v>16</v>
      </c>
      <c r="BQ77" s="431" t="s">
        <v>333</v>
      </c>
      <c r="BR77" s="60" t="s">
        <v>342</v>
      </c>
      <c r="BS77" s="484" t="s">
        <v>360</v>
      </c>
      <c r="BT77" s="420" t="s">
        <v>349</v>
      </c>
      <c r="BU77" s="484" t="s">
        <v>360</v>
      </c>
      <c r="BV77" s="40">
        <v>2022</v>
      </c>
      <c r="BW77" s="61"/>
      <c r="BX77" s="161"/>
      <c r="BY77" s="329">
        <f t="shared" si="113"/>
        <v>-24273</v>
      </c>
      <c r="BZ77" s="57" t="str">
        <f t="shared" si="114"/>
        <v>- - -</v>
      </c>
      <c r="CA77" s="392" t="str">
        <f t="shared" si="115"/>
        <v>Chánh Văn phòng Học viện, Trưởng Ban Tổ chức - Cán bộ, Trưởng Phân viện Học viện Hành chính Quốc gia tại Thành phố Hồ Chí Minh</v>
      </c>
      <c r="CB77" s="63" t="str">
        <f t="shared" si="116"/>
        <v>A</v>
      </c>
      <c r="CC77" s="41" t="str">
        <f t="shared" si="117"/>
        <v>=&gt; s</v>
      </c>
      <c r="CD77" s="52">
        <f t="shared" si="118"/>
        <v>24271</v>
      </c>
      <c r="CE77" s="35" t="str">
        <f t="shared" si="119"/>
        <v>---</v>
      </c>
      <c r="CF77" s="35"/>
      <c r="CG77" s="242"/>
      <c r="CH77" s="35"/>
      <c r="CI77" s="35"/>
      <c r="CJ77" s="35" t="str">
        <f t="shared" si="120"/>
        <v>- - -</v>
      </c>
      <c r="CK77" s="55" t="str">
        <f t="shared" si="121"/>
        <v>- - -</v>
      </c>
      <c r="CL77" s="65"/>
      <c r="CM77" s="66"/>
      <c r="CN77" s="65"/>
      <c r="CO77" s="84"/>
      <c r="CP77" s="55" t="str">
        <f t="shared" si="122"/>
        <v>CN</v>
      </c>
      <c r="CQ77" s="65">
        <v>6</v>
      </c>
      <c r="CR77" s="66">
        <v>2013</v>
      </c>
      <c r="CS77" s="65"/>
      <c r="CT77" s="84"/>
      <c r="CU77" s="69" t="str">
        <f t="shared" si="123"/>
        <v>---</v>
      </c>
      <c r="CV77" s="70" t="str">
        <f t="shared" si="124"/>
        <v>/-/ /-/</v>
      </c>
      <c r="CW77" s="67">
        <f t="shared" si="125"/>
        <v>6</v>
      </c>
      <c r="CX77" s="68">
        <f t="shared" si="126"/>
        <v>2034</v>
      </c>
      <c r="CY77" s="67">
        <f t="shared" si="127"/>
        <v>3</v>
      </c>
      <c r="CZ77" s="68">
        <f t="shared" si="128"/>
        <v>2034</v>
      </c>
      <c r="DA77" s="67">
        <f t="shared" si="129"/>
        <v>12</v>
      </c>
      <c r="DB77" s="68">
        <f t="shared" si="130"/>
        <v>2033</v>
      </c>
      <c r="DC77" s="71" t="str">
        <f t="shared" si="131"/>
        <v>- - -</v>
      </c>
      <c r="DD77" s="72" t="str">
        <f t="shared" si="132"/>
        <v>. .</v>
      </c>
      <c r="DE77" s="72"/>
      <c r="DF77" s="52">
        <f t="shared" si="133"/>
        <v>660</v>
      </c>
      <c r="DG77" s="52">
        <f t="shared" si="134"/>
        <v>-23741</v>
      </c>
      <c r="DH77" s="52">
        <f t="shared" si="135"/>
        <v>-1979</v>
      </c>
      <c r="DI77" s="52" t="str">
        <f t="shared" si="136"/>
        <v>Nữ dưới 30</v>
      </c>
      <c r="DJ77" s="52"/>
      <c r="DK77" s="52"/>
      <c r="DL77" s="57" t="str">
        <f t="shared" si="137"/>
        <v>Đến 30</v>
      </c>
      <c r="DM77" s="65" t="str">
        <f t="shared" si="138"/>
        <v>--</v>
      </c>
      <c r="DN77" s="36"/>
      <c r="DO77" s="35" t="s">
        <v>268</v>
      </c>
      <c r="DP77" s="158">
        <v>6</v>
      </c>
      <c r="DQ77" s="36">
        <v>2013</v>
      </c>
      <c r="DR77" s="36"/>
      <c r="DS77" s="74"/>
      <c r="DT77" s="40"/>
      <c r="DU77" s="76"/>
      <c r="DV77" s="91"/>
      <c r="DW77" s="37" t="s">
        <v>73</v>
      </c>
      <c r="DX77" s="391" t="s">
        <v>416</v>
      </c>
      <c r="DY77" s="37" t="s">
        <v>73</v>
      </c>
      <c r="DZ77" s="184" t="s">
        <v>342</v>
      </c>
      <c r="EA77" s="49" t="s">
        <v>360</v>
      </c>
      <c r="EB77" s="179" t="s">
        <v>349</v>
      </c>
      <c r="EC77" s="49" t="s">
        <v>360</v>
      </c>
      <c r="ED77" s="77">
        <v>2012</v>
      </c>
      <c r="EE77" s="49">
        <f t="shared" si="139"/>
        <v>0</v>
      </c>
      <c r="EF77" s="78" t="str">
        <f t="shared" si="140"/>
        <v>- - -</v>
      </c>
      <c r="EG77" s="184" t="s">
        <v>342</v>
      </c>
      <c r="EH77" s="49" t="s">
        <v>360</v>
      </c>
      <c r="EI77" s="179" t="s">
        <v>349</v>
      </c>
      <c r="EJ77" s="49" t="s">
        <v>360</v>
      </c>
      <c r="EK77" s="77">
        <v>2012</v>
      </c>
      <c r="EL77" s="35"/>
      <c r="EM77" s="55" t="str">
        <f t="shared" si="141"/>
        <v>- - -</v>
      </c>
      <c r="EN77" s="79" t="str">
        <f t="shared" si="142"/>
        <v>---</v>
      </c>
      <c r="EO77" s="91"/>
    </row>
    <row r="78" spans="1:174" s="80" customFormat="1" ht="11.25" customHeight="1" x14ac:dyDescent="0.2">
      <c r="A78" s="101">
        <v>676</v>
      </c>
      <c r="B78" s="371">
        <v>15</v>
      </c>
      <c r="C78" s="35"/>
      <c r="D78" s="35" t="str">
        <f t="shared" ref="D78:D82" si="143">IF(F78="Nam","Ông","Bà")</f>
        <v>Ông</v>
      </c>
      <c r="E78" s="40" t="s">
        <v>89</v>
      </c>
      <c r="F78" s="35" t="s">
        <v>379</v>
      </c>
      <c r="G78" s="64" t="s">
        <v>343</v>
      </c>
      <c r="H78" s="620" t="s">
        <v>360</v>
      </c>
      <c r="I78" s="64">
        <v>8</v>
      </c>
      <c r="J78" s="620" t="s">
        <v>360</v>
      </c>
      <c r="K78" s="40">
        <v>1963</v>
      </c>
      <c r="L78" s="193" t="s">
        <v>452</v>
      </c>
      <c r="M78" s="652" t="str">
        <f t="shared" ref="M78:M82" si="144">IF(L78="công chức","CC",IF(L78="viên chức","VC",IF(L78="người lao động","NLĐ","- - -")))</f>
        <v>VC</v>
      </c>
      <c r="N78" s="199"/>
      <c r="O78" s="621" t="e">
        <f t="shared" ref="O78:O82" si="145">IF(AND((Q78+0)&gt;0.3,(Q78+0)&lt;1.5),"CVụ","- -")</f>
        <v>#N/A</v>
      </c>
      <c r="P78" s="40"/>
      <c r="Q78" s="371" t="e">
        <f>VLOOKUP(P78,'[1]- DLiêu Gốc (Không sửa)'!$C$2:$H$116,2,0)</f>
        <v>#N/A</v>
      </c>
      <c r="R78" s="40" t="s">
        <v>9</v>
      </c>
      <c r="S78" s="646" t="s">
        <v>557</v>
      </c>
      <c r="T78" s="38" t="str">
        <f>VLOOKUP(Y78,'Du lieu lien quan'!$C$2:$H$60,5,0)</f>
        <v>A1</v>
      </c>
      <c r="U78" s="39" t="str">
        <f>VLOOKUP(Y78,'Du lieu lien quan'!$C$2:$H$60,6,0)</f>
        <v>- - -</v>
      </c>
      <c r="V78" s="663" t="s">
        <v>424</v>
      </c>
      <c r="W78" s="370" t="str">
        <f t="shared" ref="W78:W82" si="146">IF(OR(Y78="Kỹ thuật viên đánh máy",Y78="Nhân viên đánh máy",Y78="Nhân viên kỹ thuật",Y78="Nhân viên văn thư",Y78="Nhân viên phục vụ",Y78="Lái xe cơ quan",Y78="Nhân viên bảo vệ"),"Nhân viên",Y78)</f>
        <v>Giảng viên (hạng III)</v>
      </c>
      <c r="X78" s="373" t="str">
        <f t="shared" ref="X78:X82" si="147">IF(W78="Nhân viên","01.005",Z78)</f>
        <v>V.07.01.03</v>
      </c>
      <c r="Y78" s="397" t="s">
        <v>430</v>
      </c>
      <c r="Z78" s="397" t="str">
        <f>VLOOKUP(Y78,'Du lieu lien quan'!$C$1:$H$133,2,0)</f>
        <v>V.07.01.03</v>
      </c>
      <c r="AA78" s="52" t="str">
        <f t="shared" ref="AA78:AA82" si="148">IF(OR(AND(BC78=36,BB78=3),AND(BC78=24,BB78=2),AND(BC78=12,BB78=1)),"Đến $",IF(OR(AND(BC78&gt;36,BB78=3),AND(BC78&gt;24,BB78=2),AND(BC78&gt;12,BB78=1)),"Dừng $","Lương"))</f>
        <v>Lương</v>
      </c>
      <c r="AB78" s="175">
        <v>7</v>
      </c>
      <c r="AC78" s="495" t="str">
        <f t="shared" ref="AC78:AC82" si="149">IF(AD78&gt;0,"/")</f>
        <v>/</v>
      </c>
      <c r="AD78" s="208">
        <f t="shared" ref="AD78:AD82" si="150">IF(OR(BE78=0.18,BE78=0.2),12,IF(BE78=0.31,10,IF(BE78=0.33,9,IF(BE78=0.34,8,IF(BE78=0.36,6)))))</f>
        <v>9</v>
      </c>
      <c r="AE78" s="54">
        <f t="shared" ref="AE78:AE82" si="151">BD78+(AB78-1)*BE78</f>
        <v>4.32</v>
      </c>
      <c r="AF78" s="409"/>
      <c r="AG78" s="409"/>
      <c r="AH78" s="48" t="s">
        <v>342</v>
      </c>
      <c r="AI78" s="484" t="s">
        <v>360</v>
      </c>
      <c r="AJ78" s="49" t="s">
        <v>346</v>
      </c>
      <c r="AK78" s="484" t="s">
        <v>360</v>
      </c>
      <c r="AL78" s="50">
        <v>2017</v>
      </c>
      <c r="AM78" s="162"/>
      <c r="AN78" s="53"/>
      <c r="AO78" s="45">
        <f t="shared" ref="AO78:AO82" si="152">AB78+1</f>
        <v>8</v>
      </c>
      <c r="AP78" s="490" t="str">
        <f t="shared" ref="AP78:AP82" si="153">IF(AD78=AB78,"%",IF(AD78&gt;AB78,"/"))</f>
        <v>/</v>
      </c>
      <c r="AQ78" s="87">
        <f t="shared" ref="AQ78:AQ82" si="154">IF(AND(AD78=AB78,AO78=4),5,IF(AND(AD78=AB78,AO78&gt;4),AO78+1,IF(AD78&gt;AB78,AD78)))</f>
        <v>9</v>
      </c>
      <c r="AR78" s="47">
        <f t="shared" ref="AR78:AR82" si="155">IF(AD78=AB78,"%",IF(AD78&gt;AB78,AE78+BE78))</f>
        <v>4.6500000000000004</v>
      </c>
      <c r="AS78" s="413"/>
      <c r="AT78" s="48" t="s">
        <v>342</v>
      </c>
      <c r="AU78" s="484" t="s">
        <v>360</v>
      </c>
      <c r="AV78" s="49" t="s">
        <v>346</v>
      </c>
      <c r="AW78" s="484" t="s">
        <v>360</v>
      </c>
      <c r="AX78" s="50">
        <v>2020</v>
      </c>
      <c r="AY78" s="91"/>
      <c r="AZ78" s="266"/>
      <c r="BA78" s="480"/>
      <c r="BB78" s="51">
        <f t="shared" ref="BB78:BB82" si="156">IF(AND(AD78&gt;AB78,OR(BE78=0.18,BE78=0.2)),2,IF(AND(AD78&gt;AB78,OR(BE78=0.31,BE78=0.33,BE78=0.34,BE78=0.36)),3,IF(AD78=AB78,1)))</f>
        <v>3</v>
      </c>
      <c r="BC78" s="328">
        <f t="shared" ref="BC78:BC82" si="157">12*($AA$2-AX78)+($AA$3-AV78)-AM78</f>
        <v>-24248</v>
      </c>
      <c r="BD78" s="280">
        <f>VLOOKUP(Y78,'Du lieu lien quan'!$C$1:$F$60,3,0)</f>
        <v>2.34</v>
      </c>
      <c r="BE78" s="280">
        <f>VLOOKUP(Y78,'Du lieu lien quan'!$C$1:$F$60,4,0)</f>
        <v>0.33</v>
      </c>
      <c r="BF78" s="57" t="str">
        <f t="shared" ref="BF78:BF82" si="158">IF(AND(BG78&gt;3,BY78=12),"Đến %",IF(AND(BG78&gt;3,BY78&gt;12,BY78&lt;120),"Dừng %",IF(AND(BG78&gt;3,BY78&lt;12),"PCTN","o-o-o")))</f>
        <v>PCTN</v>
      </c>
      <c r="BG78" s="58">
        <v>18</v>
      </c>
      <c r="BH78" s="424" t="s">
        <v>333</v>
      </c>
      <c r="BI78" s="60" t="s">
        <v>342</v>
      </c>
      <c r="BJ78" s="489" t="s">
        <v>360</v>
      </c>
      <c r="BK78" s="422">
        <v>5</v>
      </c>
      <c r="BL78" s="489" t="s">
        <v>360</v>
      </c>
      <c r="BM78" s="50">
        <v>2021</v>
      </c>
      <c r="BN78" s="162"/>
      <c r="BO78" s="62"/>
      <c r="BP78" s="59">
        <f t="shared" ref="BP78:BP82" si="159">IF(BG78&gt;3,BG78+1,0)</f>
        <v>19</v>
      </c>
      <c r="BQ78" s="429" t="s">
        <v>333</v>
      </c>
      <c r="BR78" s="60" t="s">
        <v>342</v>
      </c>
      <c r="BS78" s="484" t="s">
        <v>360</v>
      </c>
      <c r="BT78" s="420">
        <v>5</v>
      </c>
      <c r="BU78" s="484" t="s">
        <v>360</v>
      </c>
      <c r="BV78" s="50">
        <v>2022</v>
      </c>
      <c r="BW78" s="61"/>
      <c r="BX78" s="161">
        <v>5</v>
      </c>
      <c r="BY78" s="329">
        <f t="shared" ref="BY78:BY82" si="160">IF(BG78&gt;3,(($BF$2-BV78)*12+($BF$3-BT78)-BN78),"- - -")</f>
        <v>-24269</v>
      </c>
      <c r="BZ78" s="57" t="str">
        <f t="shared" ref="BZ78:BZ82" si="161">IF(AND(CV78="Hưu",BG78&gt;3),12-(12*(DB78-BV78)+(DA78-BT78))-BN78,"- - -")</f>
        <v>- - -</v>
      </c>
      <c r="CA78" s="392" t="str">
        <f t="shared" ref="CA78:CA82" si="162">IF(OR(S78="Ban Tổ chức - Cán bộ",S78="Văn phòng Học viện",S78="Phó Giám đốc Thường trực Học viện",S78="Phó Giám đốc Học viện"),"Chánh Văn phòng Học viện, Trưởng Ban Tổ chức - Cán bộ",IF(OR(S78="Trung tâm Ngoại ngữ",S78="Trung tâm Tin học hành chính và Công nghệ thông tin",S78="Trung tâm Tin học - Thư viện",S78="Phân viện khu vực Tây Nguyên"),"Chánh Văn phòng Học viện, Trưởng Ban Tổ chức - Cán bộ, "&amp;CONCATENATE("Giám đốc ",S78),IF(S78="Tạp chí Quản lý nhà nước","Chánh Văn phòng Học viện, Trưởng Ban Tổ chức - Cán bộ, "&amp;CONCATENATE("Tổng Biên tập ",S78),IF(S78="Văn phòng Đảng uỷ Học viện","Chánh Văn phòng Học viện, Trưởng Ban Tổ chức - Cán bộ, "&amp;CONCATENATE("Chánh",S78),IF(S78="Viện Nghiên cứu Khoa học hành chính","Chánh Văn phòng Học viện, Trưởng Ban Tổ chức - Cán bộ, "&amp;CONCATENATE("Viện Trưởng ",S78),IF(OR(S78="Cơ sở Học viện Hành chính Quốc gia khu vực miền Trung",S78="Cơ sở Học viện Hành chính Quốc gia tại Thành phố Hồ Chí Minh"),"Chánh Văn phòng Học viện, Trưởng Ban Tổ chức - Cán bộ, "&amp;CONCATENATE("Thủ trưởng ",S78),"Chánh Văn phòng Học viện, Trưởng Ban Tổ chức - Cán bộ, "&amp;CONCATENATE("Trưởng ",S78)))))))</f>
        <v>Chánh Văn phòng Học viện, Trưởng Ban Tổ chức - Cán bộ, Trưởng Phân viện Học viện Hành chính Quốc gia tại Thành phố Hồ Chí Minh</v>
      </c>
      <c r="CB78" s="63" t="str">
        <f t="shared" ref="CB78:CB82" si="163">IF(S78="Cơ sở Học viện Hành chính khu vực miền Trung","B",IF(S78="Phân viện Khu vực Tây Nguyên","C",IF(S78="Cơ sở Học viện Hành chính tại thành phố Hồ Chí Minh","D","A")))</f>
        <v>A</v>
      </c>
      <c r="CC78" s="41" t="str">
        <f t="shared" ref="CC78:CC82" si="164">IF(AND(AO78&gt;0,AB78&lt;(AD78-1),CD78&gt;0,CD78&lt;13,OR(AND(CJ78="Cùg Ng",($CC$2-CF78)&gt;BB78),CJ78="- - -")),"Sớm TT","=&gt; s")</f>
        <v>=&gt; s</v>
      </c>
      <c r="CD78" s="52">
        <f t="shared" ref="CD78:CD82" si="165">IF(BB78=3,36-(12*($CC$2-AX78)+(12-AV78)-AM78),IF(BB78=2,24-(12*($CC$2-AX78)+(12-AV78)-AM78),"---"))</f>
        <v>24272</v>
      </c>
      <c r="CE78" s="35" t="str">
        <f t="shared" ref="CE78:CE82" si="166">IF(CF78&gt;1,"S","---")</f>
        <v>---</v>
      </c>
      <c r="CF78" s="35"/>
      <c r="CG78" s="379"/>
      <c r="CH78" s="35"/>
      <c r="CI78" s="135"/>
      <c r="CJ78" s="35" t="str">
        <f t="shared" ref="CJ78:CJ82" si="167">IF(X78=CG78,"Cùg Ng","- - -")</f>
        <v>- - -</v>
      </c>
      <c r="CK78" s="55" t="str">
        <f t="shared" ref="CK78:CK82" si="168">IF(CM78&gt;2000,"NN","- - -")</f>
        <v>- - -</v>
      </c>
      <c r="CL78" s="65"/>
      <c r="CM78" s="66"/>
      <c r="CN78" s="65"/>
      <c r="CO78" s="84"/>
      <c r="CP78" s="55" t="str">
        <f t="shared" ref="CP78:CP82" si="169">IF(CR78&gt;2000,"CN","- - -")</f>
        <v>- - -</v>
      </c>
      <c r="CQ78" s="65"/>
      <c r="CR78" s="66"/>
      <c r="CS78" s="65"/>
      <c r="CT78" s="84"/>
      <c r="CU78" s="69" t="str">
        <f t="shared" ref="CU78:CU82" si="170">IF(AND(CV78="Hưu",AB78&lt;(AD78-1),DC78&gt;0,DC78&lt;18,OR(BG78&lt;4,AND(BG78&gt;3,OR(BZ78&lt;3,BZ78&gt;5)))),"Lg Sớm",IF(AND(CV78="Hưu",AB78&gt;(AD78-2),OR(BE78=0.33,BE78=0.34),OR(BG78&lt;4,AND(BG78&gt;3,OR(BZ78&lt;3,BZ78&gt;5)))),"Nâng Ngạch",IF(AND(CV78="Hưu",BB78=1,DC78&gt;2,DC78&lt;6,OR(BG78&lt;4,AND(BG78&gt;3,OR(BZ78&lt;3,BZ78&gt;5)))),"Nâng PcVK cùng QĐ",IF(AND(CV78="Hưu",BG78&gt;3,BZ78&gt;2,BZ78&lt;6,AB78&lt;(AD78-1),DC78&gt;17,OR(BB78&gt;1,AND(BB78=1,OR(DC78&lt;3,DC78&gt;5)))),"Nâng PcNG cùng QĐ",IF(AND(CV78="Hưu",AB78&lt;(AD78-1),DC78&gt;0,DC78&lt;18,BG78&gt;3,BZ78&gt;2,BZ78&lt;6),"Nâng Lg Sớm +(PcNG cùng QĐ)",IF(AND(CV78="Hưu",AB78&gt;(AD78-2),OR(BE78=0.33,BE78=0.34),BG78&gt;3,BZ78&gt;2,BZ78&lt;6),"Nâng Ngạch +(PcNG cùng QĐ)",IF(AND(CV78="Hưu",BB78=1,DC78&gt;2,DC78&lt;6,BG78&gt;3,BZ78&gt;2,BZ78&lt;6),"Nâng (PcVK +PcNG) cùng QĐ",("---"))))))))</f>
        <v>---</v>
      </c>
      <c r="CV78" s="70" t="str">
        <f t="shared" ref="CV78:CV82" si="171">IF(AND(DG78&gt;DF78,DG78&lt;(DF78+13)),"Hưu",IF(AND(DG78&gt;(DF78+12),DG78&lt;1000),"Quá","/-/ /-/"))</f>
        <v>/-/ /-/</v>
      </c>
      <c r="CW78" s="67">
        <f t="shared" ref="CW78:CW82" si="172">IF((I78+0)&lt;12,(I78+0)+1,IF((I78+0)=12,1,IF((I78+0)&gt;12,(I78+0)-12)))</f>
        <v>9</v>
      </c>
      <c r="CX78" s="68">
        <f t="shared" ref="CX78:CX82" si="173">IF(OR((I78+0)=12,(I78+0)&gt;12),K78+DF78/12+1,IF(AND((I78+0)&gt;0,(I78+0)&lt;12),K78+DF78/12,"---"))</f>
        <v>2023</v>
      </c>
      <c r="CY78" s="67">
        <f t="shared" ref="CY78:CY82" si="174">IF(AND(CW78&gt;3,CW78&lt;13),CW78-3,IF(CW78&lt;4,CW78-3+12))</f>
        <v>6</v>
      </c>
      <c r="CZ78" s="68">
        <f t="shared" ref="CZ78:CZ82" si="175">IF(CY78&lt;CW78,CX78,IF(CY78&gt;CW78,CX78-1))</f>
        <v>2023</v>
      </c>
      <c r="DA78" s="67">
        <f t="shared" ref="DA78:DA82" si="176">IF(CW78&gt;6,CW78-6,IF(CW78=6,12,IF(CW78&lt;6,CW78+6)))</f>
        <v>3</v>
      </c>
      <c r="DB78" s="68">
        <f t="shared" ref="DB78:DB82" si="177">IF(CW78&gt;6,CX78,IF(CW78&lt;7,CX78-1))</f>
        <v>2023</v>
      </c>
      <c r="DC78" s="71" t="str">
        <f t="shared" ref="DC78:DC82" si="178">IF(AND(CV78="Hưu",BB78=3),36+AM78-(12*(DB78-AX78)+(DA78-AV78)),IF(AND(CV78="Hưu",BB78=2),24+AM78-(12*(DB78-AX78)+(DA78-AV78)),IF(AND(CV78="Hưu",BB78=1),12+AM78-(12*(DB78-AX78)+(DA78-AV78)),"- - -")))</f>
        <v>- - -</v>
      </c>
      <c r="DD78" s="72" t="str">
        <f t="shared" ref="DD78:DD82" si="179">IF(DE78&gt;0,"K.Dài",". .")</f>
        <v>. .</v>
      </c>
      <c r="DE78" s="72"/>
      <c r="DF78" s="52">
        <f t="shared" ref="DF78:DF82" si="180">IF(F78="Nam",(60+DE78)*12,IF(F78="Nữ",(55+DE78)*12,))</f>
        <v>720</v>
      </c>
      <c r="DG78" s="52">
        <f t="shared" ref="DG78:DG82" si="181">12*($CV$4-K78)+(12-I78)</f>
        <v>-23552</v>
      </c>
      <c r="DH78" s="52">
        <f t="shared" ref="DH78:DH82" si="182">$DL$4-K78</f>
        <v>-1963</v>
      </c>
      <c r="DI78" s="52" t="str">
        <f t="shared" ref="DI78:DI82" si="183">IF(AND(DH78&lt;35,F78="Nam"),"Nam dưới 35",IF(AND(DH78&lt;30,F78="Nữ"),"Nữ dưới 30",IF(AND(DH78&gt;34,DH78&lt;46,F78="Nam"),"Nam từ 35 - 45",IF(AND(DH78&gt;29,DH78&lt;41,F78="Nữ"),"Nữ từ 30 - 40",IF(AND(DH78&gt;45,DH78&lt;56,F78="Nam"),"Nam trên 45 - 55",IF(AND(DH78&gt;40,DH78&lt;51,F78="Nữ"),"Nữ trên 40 - 50",IF(AND(DH78&gt;55,F78="Nam"),"Nam trên 55","Nữ trên 50")))))))</f>
        <v>Nam dưới 35</v>
      </c>
      <c r="DJ78" s="52"/>
      <c r="DK78" s="52"/>
      <c r="DL78" s="57" t="str">
        <f t="shared" ref="DL78:DL82" si="184">IF(DH78&lt;31,"Đến 30",IF(AND(DH78&gt;30,DH78&lt;46),"31 - 45",IF(AND(DH78&gt;45,DH78&lt;70),"Trên 45")))</f>
        <v>Đến 30</v>
      </c>
      <c r="DM78" s="65" t="str">
        <f t="shared" ref="DM78:DM82" si="185">IF(DN78&gt;0,"TD","--")</f>
        <v>TD</v>
      </c>
      <c r="DN78" s="36">
        <v>2009</v>
      </c>
      <c r="DO78" s="35"/>
      <c r="DP78" s="73"/>
      <c r="DQ78" s="36"/>
      <c r="DR78" s="84"/>
      <c r="DS78" s="85"/>
      <c r="DT78" s="86"/>
      <c r="DU78" s="76"/>
      <c r="DV78" s="91"/>
      <c r="DW78" s="37" t="s">
        <v>9</v>
      </c>
      <c r="DX78" s="391" t="s">
        <v>416</v>
      </c>
      <c r="DY78" s="37" t="s">
        <v>9</v>
      </c>
      <c r="DZ78" s="48" t="s">
        <v>342</v>
      </c>
      <c r="EA78" s="49" t="s">
        <v>360</v>
      </c>
      <c r="EB78" s="49" t="s">
        <v>346</v>
      </c>
      <c r="EC78" s="49" t="s">
        <v>360</v>
      </c>
      <c r="ED78" s="77" t="s">
        <v>364</v>
      </c>
      <c r="EE78" s="49">
        <f t="shared" ref="EE78:EE82" si="186">(DZ78+0)-(EG78+0)</f>
        <v>0</v>
      </c>
      <c r="EF78" s="78" t="str">
        <f t="shared" ref="EF78:EF82" si="187">IF(EE78&gt;0,"Sửa","- - -")</f>
        <v>- - -</v>
      </c>
      <c r="EG78" s="48" t="s">
        <v>342</v>
      </c>
      <c r="EH78" s="49" t="s">
        <v>360</v>
      </c>
      <c r="EI78" s="49" t="s">
        <v>346</v>
      </c>
      <c r="EJ78" s="49" t="s">
        <v>360</v>
      </c>
      <c r="EK78" s="77" t="s">
        <v>364</v>
      </c>
      <c r="EL78" s="35"/>
      <c r="EM78" s="55" t="str">
        <f t="shared" ref="EM78:EM82" si="188">IF(AND(BE78&gt;0.34,AO78=1,OR(BD78=6.2,BD78=5.75)),((BD78-EL78)-2*0.34),IF(AND(BE78&gt;0.33,AO78=1,OR(BD78=4.4,BD78=4)),((BD78-EL78)-2*0.33),"- - -"))</f>
        <v>- - -</v>
      </c>
      <c r="EN78" s="79" t="str">
        <f t="shared" ref="EN78:EN82" si="189">IF(CV78="Hưu",12*(DB78-AX78)+(DA78-AV78),"---")</f>
        <v>---</v>
      </c>
      <c r="EO78" s="91"/>
    </row>
    <row r="79" spans="1:174" s="319" customFormat="1" ht="11.25" customHeight="1" x14ac:dyDescent="0.2">
      <c r="A79" s="101">
        <v>677</v>
      </c>
      <c r="B79" s="371">
        <v>16</v>
      </c>
      <c r="C79" s="35"/>
      <c r="D79" s="35" t="str">
        <f t="shared" si="143"/>
        <v>Ông</v>
      </c>
      <c r="E79" s="40" t="s">
        <v>297</v>
      </c>
      <c r="F79" s="35" t="s">
        <v>379</v>
      </c>
      <c r="G79" s="64" t="s">
        <v>342</v>
      </c>
      <c r="H79" s="620" t="s">
        <v>360</v>
      </c>
      <c r="I79" s="64" t="s">
        <v>373</v>
      </c>
      <c r="J79" s="620" t="s">
        <v>360</v>
      </c>
      <c r="K79" s="40" t="s">
        <v>311</v>
      </c>
      <c r="L79" s="193" t="s">
        <v>452</v>
      </c>
      <c r="M79" s="652" t="str">
        <f t="shared" si="144"/>
        <v>VC</v>
      </c>
      <c r="N79" s="199"/>
      <c r="O79" s="621" t="e">
        <f t="shared" si="145"/>
        <v>#N/A</v>
      </c>
      <c r="P79" s="40"/>
      <c r="Q79" s="371" t="e">
        <f>VLOOKUP(P79,'[1]- DLiêu Gốc (Không sửa)'!$C$2:$H$116,2,0)</f>
        <v>#N/A</v>
      </c>
      <c r="R79" s="40" t="s">
        <v>9</v>
      </c>
      <c r="S79" s="646" t="s">
        <v>557</v>
      </c>
      <c r="T79" s="38" t="str">
        <f>VLOOKUP(Y79,'Du lieu lien quan'!$C$2:$H$60,5,0)</f>
        <v>A1</v>
      </c>
      <c r="U79" s="39" t="str">
        <f>VLOOKUP(Y79,'Du lieu lien quan'!$C$2:$H$60,6,0)</f>
        <v>- - -</v>
      </c>
      <c r="V79" s="663" t="s">
        <v>424</v>
      </c>
      <c r="W79" s="370" t="str">
        <f t="shared" si="146"/>
        <v>Giảng viên (hạng III)</v>
      </c>
      <c r="X79" s="373" t="str">
        <f t="shared" si="147"/>
        <v>V.07.01.03</v>
      </c>
      <c r="Y79" s="397" t="s">
        <v>430</v>
      </c>
      <c r="Z79" s="397" t="str">
        <f>VLOOKUP(Y79,'Du lieu lien quan'!$C$1:$H$133,2,0)</f>
        <v>V.07.01.03</v>
      </c>
      <c r="AA79" s="52" t="str">
        <f t="shared" si="148"/>
        <v>Lương</v>
      </c>
      <c r="AB79" s="175">
        <v>6</v>
      </c>
      <c r="AC79" s="495" t="str">
        <f t="shared" si="149"/>
        <v>/</v>
      </c>
      <c r="AD79" s="43">
        <f t="shared" si="150"/>
        <v>9</v>
      </c>
      <c r="AE79" s="44">
        <f t="shared" si="151"/>
        <v>3.99</v>
      </c>
      <c r="AF79" s="409"/>
      <c r="AG79" s="409"/>
      <c r="AH79" s="48" t="s">
        <v>342</v>
      </c>
      <c r="AI79" s="484" t="s">
        <v>360</v>
      </c>
      <c r="AJ79" s="49" t="s">
        <v>343</v>
      </c>
      <c r="AK79" s="484" t="s">
        <v>360</v>
      </c>
      <c r="AL79" s="487">
        <v>2018</v>
      </c>
      <c r="AM79" s="162"/>
      <c r="AN79" s="53"/>
      <c r="AO79" s="45">
        <f t="shared" si="152"/>
        <v>7</v>
      </c>
      <c r="AP79" s="490" t="str">
        <f t="shared" si="153"/>
        <v>/</v>
      </c>
      <c r="AQ79" s="87">
        <f t="shared" si="154"/>
        <v>9</v>
      </c>
      <c r="AR79" s="47">
        <f t="shared" si="155"/>
        <v>4.32</v>
      </c>
      <c r="AS79" s="413"/>
      <c r="AT79" s="48" t="s">
        <v>342</v>
      </c>
      <c r="AU79" s="484" t="s">
        <v>360</v>
      </c>
      <c r="AV79" s="49" t="s">
        <v>343</v>
      </c>
      <c r="AW79" s="484" t="s">
        <v>360</v>
      </c>
      <c r="AX79" s="487">
        <v>2021</v>
      </c>
      <c r="AY79" s="428"/>
      <c r="AZ79" s="469"/>
      <c r="BA79" s="480">
        <v>2.1800000000000002</v>
      </c>
      <c r="BB79" s="51">
        <f t="shared" si="156"/>
        <v>3</v>
      </c>
      <c r="BC79" s="328">
        <f t="shared" si="157"/>
        <v>-24254</v>
      </c>
      <c r="BD79" s="280">
        <f>VLOOKUP(Y79,'Du lieu lien quan'!$C$1:$F$60,3,0)</f>
        <v>2.34</v>
      </c>
      <c r="BE79" s="280">
        <f>VLOOKUP(Y79,'Du lieu lien quan'!$C$1:$F$60,4,0)</f>
        <v>0.33</v>
      </c>
      <c r="BF79" s="57" t="str">
        <f t="shared" si="158"/>
        <v>PCTN</v>
      </c>
      <c r="BG79" s="58">
        <v>18</v>
      </c>
      <c r="BH79" s="424" t="s">
        <v>333</v>
      </c>
      <c r="BI79" s="60" t="s">
        <v>342</v>
      </c>
      <c r="BJ79" s="489" t="s">
        <v>360</v>
      </c>
      <c r="BK79" s="422">
        <v>5</v>
      </c>
      <c r="BL79" s="489" t="s">
        <v>360</v>
      </c>
      <c r="BM79" s="50">
        <v>2021</v>
      </c>
      <c r="BN79" s="162"/>
      <c r="BO79" s="62"/>
      <c r="BP79" s="59">
        <f t="shared" si="159"/>
        <v>19</v>
      </c>
      <c r="BQ79" s="429" t="s">
        <v>333</v>
      </c>
      <c r="BR79" s="60" t="s">
        <v>342</v>
      </c>
      <c r="BS79" s="484" t="s">
        <v>360</v>
      </c>
      <c r="BT79" s="420">
        <v>5</v>
      </c>
      <c r="BU79" s="484" t="s">
        <v>360</v>
      </c>
      <c r="BV79" s="50">
        <v>2022</v>
      </c>
      <c r="BW79" s="61"/>
      <c r="BX79" s="161">
        <v>5</v>
      </c>
      <c r="BY79" s="329">
        <f t="shared" si="160"/>
        <v>-24269</v>
      </c>
      <c r="BZ79" s="57" t="str">
        <f t="shared" si="161"/>
        <v>- - -</v>
      </c>
      <c r="CA79" s="392" t="str">
        <f t="shared" si="162"/>
        <v>Chánh Văn phòng Học viện, Trưởng Ban Tổ chức - Cán bộ, Trưởng Phân viện Học viện Hành chính Quốc gia tại Thành phố Hồ Chí Minh</v>
      </c>
      <c r="CB79" s="63" t="str">
        <f t="shared" si="163"/>
        <v>A</v>
      </c>
      <c r="CC79" s="41" t="str">
        <f t="shared" si="164"/>
        <v>=&gt; s</v>
      </c>
      <c r="CD79" s="52">
        <f t="shared" si="165"/>
        <v>24278</v>
      </c>
      <c r="CE79" s="35" t="str">
        <f t="shared" si="166"/>
        <v>---</v>
      </c>
      <c r="CF79" s="35"/>
      <c r="CG79" s="379"/>
      <c r="CH79" s="35"/>
      <c r="CI79" s="135"/>
      <c r="CJ79" s="35" t="str">
        <f t="shared" si="167"/>
        <v>- - -</v>
      </c>
      <c r="CK79" s="55" t="str">
        <f t="shared" si="168"/>
        <v>- - -</v>
      </c>
      <c r="CL79" s="65"/>
      <c r="CM79" s="66"/>
      <c r="CN79" s="65"/>
      <c r="CO79" s="84"/>
      <c r="CP79" s="55" t="str">
        <f t="shared" si="169"/>
        <v>- - -</v>
      </c>
      <c r="CQ79" s="65"/>
      <c r="CR79" s="36"/>
      <c r="CS79" s="65"/>
      <c r="CT79" s="84"/>
      <c r="CU79" s="69" t="str">
        <f t="shared" si="170"/>
        <v>---</v>
      </c>
      <c r="CV79" s="70" t="str">
        <f t="shared" si="171"/>
        <v>/-/ /-/</v>
      </c>
      <c r="CW79" s="67">
        <f t="shared" si="172"/>
        <v>12</v>
      </c>
      <c r="CX79" s="68">
        <f t="shared" si="173"/>
        <v>2037</v>
      </c>
      <c r="CY79" s="67">
        <f t="shared" si="174"/>
        <v>9</v>
      </c>
      <c r="CZ79" s="68">
        <f t="shared" si="175"/>
        <v>2037</v>
      </c>
      <c r="DA79" s="67">
        <f t="shared" si="176"/>
        <v>6</v>
      </c>
      <c r="DB79" s="68">
        <f t="shared" si="177"/>
        <v>2037</v>
      </c>
      <c r="DC79" s="71" t="str">
        <f t="shared" si="178"/>
        <v>- - -</v>
      </c>
      <c r="DD79" s="72" t="str">
        <f t="shared" si="179"/>
        <v>. .</v>
      </c>
      <c r="DE79" s="72"/>
      <c r="DF79" s="52">
        <f t="shared" si="180"/>
        <v>720</v>
      </c>
      <c r="DG79" s="52">
        <f t="shared" si="181"/>
        <v>-23723</v>
      </c>
      <c r="DH79" s="52">
        <f t="shared" si="182"/>
        <v>-1977</v>
      </c>
      <c r="DI79" s="52" t="str">
        <f t="shared" si="183"/>
        <v>Nam dưới 35</v>
      </c>
      <c r="DJ79" s="52"/>
      <c r="DK79" s="52"/>
      <c r="DL79" s="57" t="str">
        <f t="shared" si="184"/>
        <v>Đến 30</v>
      </c>
      <c r="DM79" s="65" t="str">
        <f t="shared" si="185"/>
        <v>TD</v>
      </c>
      <c r="DN79" s="36">
        <v>2009</v>
      </c>
      <c r="DO79" s="35"/>
      <c r="DP79" s="73"/>
      <c r="DQ79" s="36"/>
      <c r="DR79" s="84"/>
      <c r="DS79" s="85"/>
      <c r="DT79" s="86"/>
      <c r="DU79" s="76"/>
      <c r="DV79" s="91"/>
      <c r="DW79" s="37" t="s">
        <v>9</v>
      </c>
      <c r="DX79" s="391" t="s">
        <v>416</v>
      </c>
      <c r="DY79" s="37" t="s">
        <v>9</v>
      </c>
      <c r="DZ79" s="48" t="s">
        <v>342</v>
      </c>
      <c r="EA79" s="49" t="s">
        <v>360</v>
      </c>
      <c r="EB79" s="49" t="s">
        <v>343</v>
      </c>
      <c r="EC79" s="49" t="s">
        <v>360</v>
      </c>
      <c r="ED79" s="77" t="s">
        <v>378</v>
      </c>
      <c r="EE79" s="49">
        <f t="shared" si="186"/>
        <v>0</v>
      </c>
      <c r="EF79" s="78" t="str">
        <f t="shared" si="187"/>
        <v>- - -</v>
      </c>
      <c r="EG79" s="48" t="s">
        <v>342</v>
      </c>
      <c r="EH79" s="49" t="s">
        <v>360</v>
      </c>
      <c r="EI79" s="49" t="s">
        <v>343</v>
      </c>
      <c r="EJ79" s="49" t="s">
        <v>360</v>
      </c>
      <c r="EK79" s="77" t="s">
        <v>378</v>
      </c>
      <c r="EL79" s="35"/>
      <c r="EM79" s="55" t="str">
        <f t="shared" si="188"/>
        <v>- - -</v>
      </c>
      <c r="EN79" s="79" t="str">
        <f t="shared" si="189"/>
        <v>---</v>
      </c>
      <c r="EO79" s="91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</row>
    <row r="80" spans="1:174" s="680" customFormat="1" ht="11.25" customHeight="1" x14ac:dyDescent="0.25">
      <c r="A80" s="101">
        <v>694</v>
      </c>
      <c r="B80" s="371">
        <v>35</v>
      </c>
      <c r="C80" s="35"/>
      <c r="D80" s="35" t="str">
        <f t="shared" si="143"/>
        <v>Bà</v>
      </c>
      <c r="E80" s="40" t="s">
        <v>85</v>
      </c>
      <c r="F80" s="35" t="s">
        <v>381</v>
      </c>
      <c r="G80" s="64" t="s">
        <v>350</v>
      </c>
      <c r="H80" s="620" t="s">
        <v>360</v>
      </c>
      <c r="I80" s="64">
        <v>9</v>
      </c>
      <c r="J80" s="620" t="s">
        <v>360</v>
      </c>
      <c r="K80" s="40">
        <v>1969</v>
      </c>
      <c r="L80" s="193" t="s">
        <v>452</v>
      </c>
      <c r="M80" s="652" t="str">
        <f t="shared" si="144"/>
        <v>VC</v>
      </c>
      <c r="N80" s="199"/>
      <c r="O80" s="621" t="e">
        <f t="shared" si="145"/>
        <v>#N/A</v>
      </c>
      <c r="P80" s="40"/>
      <c r="Q80" s="371" t="e">
        <f>VLOOKUP(P80,'[1]- DLiêu Gốc (Không sửa)'!$C$2:$H$116,2,0)</f>
        <v>#N/A</v>
      </c>
      <c r="R80" s="650" t="s">
        <v>382</v>
      </c>
      <c r="S80" s="646" t="s">
        <v>557</v>
      </c>
      <c r="T80" s="38" t="str">
        <f>VLOOKUP(Y80,'Du lieu lien quan'!$C$2:$H$60,5,0)</f>
        <v>A1</v>
      </c>
      <c r="U80" s="39" t="str">
        <f>VLOOKUP(Y80,'Du lieu lien quan'!$C$2:$H$60,6,0)</f>
        <v>- - -</v>
      </c>
      <c r="V80" s="663" t="s">
        <v>424</v>
      </c>
      <c r="W80" s="370" t="str">
        <f t="shared" si="146"/>
        <v>Giảng viên (hạng III)</v>
      </c>
      <c r="X80" s="98" t="str">
        <f t="shared" si="147"/>
        <v>V.07.01.03</v>
      </c>
      <c r="Y80" s="397" t="s">
        <v>430</v>
      </c>
      <c r="Z80" s="397" t="str">
        <f>VLOOKUP(Y80,'Du lieu lien quan'!$C$1:$H$133,2,0)</f>
        <v>V.07.01.03</v>
      </c>
      <c r="AA80" s="52" t="str">
        <f t="shared" si="148"/>
        <v>Lương</v>
      </c>
      <c r="AB80" s="175">
        <v>7</v>
      </c>
      <c r="AC80" s="495" t="str">
        <f t="shared" si="149"/>
        <v>/</v>
      </c>
      <c r="AD80" s="208">
        <f t="shared" si="150"/>
        <v>9</v>
      </c>
      <c r="AE80" s="54">
        <f t="shared" si="151"/>
        <v>4.32</v>
      </c>
      <c r="AF80" s="411"/>
      <c r="AG80" s="411"/>
      <c r="AH80" s="506" t="s">
        <v>342</v>
      </c>
      <c r="AI80" s="493" t="s">
        <v>360</v>
      </c>
      <c r="AJ80" s="46" t="s">
        <v>343</v>
      </c>
      <c r="AK80" s="493" t="s">
        <v>360</v>
      </c>
      <c r="AL80" s="874">
        <v>2017</v>
      </c>
      <c r="AM80" s="149"/>
      <c r="AN80" s="53"/>
      <c r="AO80" s="45">
        <f t="shared" si="152"/>
        <v>8</v>
      </c>
      <c r="AP80" s="490" t="str">
        <f t="shared" si="153"/>
        <v>/</v>
      </c>
      <c r="AQ80" s="87">
        <f t="shared" si="154"/>
        <v>9</v>
      </c>
      <c r="AR80" s="47">
        <f t="shared" si="155"/>
        <v>4.6500000000000004</v>
      </c>
      <c r="AS80" s="413"/>
      <c r="AT80" s="48" t="s">
        <v>342</v>
      </c>
      <c r="AU80" s="484" t="s">
        <v>360</v>
      </c>
      <c r="AV80" s="49" t="s">
        <v>343</v>
      </c>
      <c r="AW80" s="484" t="s">
        <v>360</v>
      </c>
      <c r="AX80" s="288">
        <v>2020</v>
      </c>
      <c r="AY80" s="91"/>
      <c r="AZ80" s="266"/>
      <c r="BA80" s="480"/>
      <c r="BB80" s="51">
        <f t="shared" si="156"/>
        <v>3</v>
      </c>
      <c r="BC80" s="328">
        <f t="shared" si="157"/>
        <v>-24242</v>
      </c>
      <c r="BD80" s="280">
        <f>VLOOKUP(Y80,'Du lieu lien quan'!$C$1:$F$60,3,0)</f>
        <v>2.34</v>
      </c>
      <c r="BE80" s="280">
        <f>VLOOKUP(Y80,'Du lieu lien quan'!$C$1:$F$60,4,0)</f>
        <v>0.33</v>
      </c>
      <c r="BF80" s="57" t="str">
        <f t="shared" si="158"/>
        <v>PCTN</v>
      </c>
      <c r="BG80" s="58">
        <v>18</v>
      </c>
      <c r="BH80" s="424" t="s">
        <v>333</v>
      </c>
      <c r="BI80" s="60" t="s">
        <v>342</v>
      </c>
      <c r="BJ80" s="489" t="s">
        <v>360</v>
      </c>
      <c r="BK80" s="422">
        <v>5</v>
      </c>
      <c r="BL80" s="489" t="s">
        <v>360</v>
      </c>
      <c r="BM80" s="50">
        <v>2021</v>
      </c>
      <c r="BN80" s="149"/>
      <c r="BO80" s="62"/>
      <c r="BP80" s="59">
        <f t="shared" si="159"/>
        <v>19</v>
      </c>
      <c r="BQ80" s="429" t="s">
        <v>333</v>
      </c>
      <c r="BR80" s="60" t="s">
        <v>342</v>
      </c>
      <c r="BS80" s="484" t="s">
        <v>360</v>
      </c>
      <c r="BT80" s="420">
        <v>5</v>
      </c>
      <c r="BU80" s="484" t="s">
        <v>360</v>
      </c>
      <c r="BV80" s="50">
        <v>2022</v>
      </c>
      <c r="BW80" s="61"/>
      <c r="BX80" s="161">
        <v>5</v>
      </c>
      <c r="BY80" s="329">
        <f t="shared" si="160"/>
        <v>-24269</v>
      </c>
      <c r="BZ80" s="57" t="str">
        <f t="shared" si="161"/>
        <v>- - -</v>
      </c>
      <c r="CA80" s="392" t="str">
        <f t="shared" si="162"/>
        <v>Chánh Văn phòng Học viện, Trưởng Ban Tổ chức - Cán bộ, Trưởng Phân viện Học viện Hành chính Quốc gia tại Thành phố Hồ Chí Minh</v>
      </c>
      <c r="CB80" s="63" t="str">
        <f t="shared" si="163"/>
        <v>A</v>
      </c>
      <c r="CC80" s="41" t="str">
        <f t="shared" si="164"/>
        <v>=&gt; s</v>
      </c>
      <c r="CD80" s="52">
        <f t="shared" si="165"/>
        <v>24266</v>
      </c>
      <c r="CE80" s="35" t="str">
        <f t="shared" si="166"/>
        <v>---</v>
      </c>
      <c r="CF80" s="35"/>
      <c r="CG80" s="242"/>
      <c r="CH80" s="35"/>
      <c r="CI80" s="35"/>
      <c r="CJ80" s="35" t="str">
        <f t="shared" si="167"/>
        <v>- - -</v>
      </c>
      <c r="CK80" s="55" t="str">
        <f t="shared" si="168"/>
        <v>- - -</v>
      </c>
      <c r="CL80" s="65"/>
      <c r="CM80" s="66"/>
      <c r="CN80" s="65"/>
      <c r="CO80" s="84"/>
      <c r="CP80" s="55" t="str">
        <f t="shared" si="169"/>
        <v>- - -</v>
      </c>
      <c r="CQ80" s="65"/>
      <c r="CR80" s="66"/>
      <c r="CS80" s="65"/>
      <c r="CT80" s="84"/>
      <c r="CU80" s="69" t="str">
        <f t="shared" si="170"/>
        <v>---</v>
      </c>
      <c r="CV80" s="70" t="str">
        <f t="shared" si="171"/>
        <v>/-/ /-/</v>
      </c>
      <c r="CW80" s="67">
        <f t="shared" si="172"/>
        <v>10</v>
      </c>
      <c r="CX80" s="68">
        <f t="shared" si="173"/>
        <v>2024</v>
      </c>
      <c r="CY80" s="67">
        <f t="shared" si="174"/>
        <v>7</v>
      </c>
      <c r="CZ80" s="68">
        <f t="shared" si="175"/>
        <v>2024</v>
      </c>
      <c r="DA80" s="67">
        <f t="shared" si="176"/>
        <v>4</v>
      </c>
      <c r="DB80" s="68">
        <f t="shared" si="177"/>
        <v>2024</v>
      </c>
      <c r="DC80" s="71" t="str">
        <f t="shared" si="178"/>
        <v>- - -</v>
      </c>
      <c r="DD80" s="72" t="str">
        <f t="shared" si="179"/>
        <v>. .</v>
      </c>
      <c r="DE80" s="380"/>
      <c r="DF80" s="52">
        <f t="shared" si="180"/>
        <v>660</v>
      </c>
      <c r="DG80" s="52">
        <f t="shared" si="181"/>
        <v>-23625</v>
      </c>
      <c r="DH80" s="52">
        <f t="shared" si="182"/>
        <v>-1969</v>
      </c>
      <c r="DI80" s="52" t="str">
        <f t="shared" si="183"/>
        <v>Nữ dưới 30</v>
      </c>
      <c r="DJ80" s="52"/>
      <c r="DK80" s="52"/>
      <c r="DL80" s="57" t="str">
        <f t="shared" si="184"/>
        <v>Đến 30</v>
      </c>
      <c r="DM80" s="65" t="str">
        <f t="shared" si="185"/>
        <v>TD</v>
      </c>
      <c r="DN80" s="36">
        <v>2009</v>
      </c>
      <c r="DO80" s="35"/>
      <c r="DP80" s="56"/>
      <c r="DQ80" s="84"/>
      <c r="DR80" s="84"/>
      <c r="DS80" s="378"/>
      <c r="DT80" s="372"/>
      <c r="DU80" s="76"/>
      <c r="DV80" s="91"/>
      <c r="DW80" s="201" t="s">
        <v>382</v>
      </c>
      <c r="DX80" s="391" t="s">
        <v>416</v>
      </c>
      <c r="DY80" s="37" t="s">
        <v>382</v>
      </c>
      <c r="DZ80" s="375" t="s">
        <v>342</v>
      </c>
      <c r="EA80" s="49" t="s">
        <v>360</v>
      </c>
      <c r="EB80" s="49" t="s">
        <v>343</v>
      </c>
      <c r="EC80" s="49" t="s">
        <v>360</v>
      </c>
      <c r="ED80" s="77" t="s">
        <v>364</v>
      </c>
      <c r="EE80" s="49">
        <f t="shared" si="186"/>
        <v>0</v>
      </c>
      <c r="EF80" s="78" t="str">
        <f t="shared" si="187"/>
        <v>- - -</v>
      </c>
      <c r="EG80" s="375" t="s">
        <v>342</v>
      </c>
      <c r="EH80" s="49" t="s">
        <v>360</v>
      </c>
      <c r="EI80" s="49" t="s">
        <v>343</v>
      </c>
      <c r="EJ80" s="49" t="s">
        <v>360</v>
      </c>
      <c r="EK80" s="77" t="s">
        <v>364</v>
      </c>
      <c r="EL80" s="35"/>
      <c r="EM80" s="55" t="str">
        <f t="shared" si="188"/>
        <v>- - -</v>
      </c>
      <c r="EN80" s="79" t="str">
        <f t="shared" si="189"/>
        <v>---</v>
      </c>
      <c r="EO80" s="91"/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0"/>
      <c r="FO80" s="80"/>
      <c r="FP80" s="80"/>
      <c r="FQ80" s="80"/>
      <c r="FR80" s="80"/>
    </row>
    <row r="81" spans="1:174" s="80" customFormat="1" ht="11.25" customHeight="1" x14ac:dyDescent="0.2">
      <c r="A81" s="101">
        <v>696</v>
      </c>
      <c r="B81" s="371">
        <v>37</v>
      </c>
      <c r="C81" s="35"/>
      <c r="D81" s="35" t="str">
        <f t="shared" si="143"/>
        <v>Bà</v>
      </c>
      <c r="E81" s="40" t="s">
        <v>142</v>
      </c>
      <c r="F81" s="35" t="s">
        <v>381</v>
      </c>
      <c r="G81" s="64" t="s">
        <v>287</v>
      </c>
      <c r="H81" s="620" t="s">
        <v>360</v>
      </c>
      <c r="I81" s="64">
        <v>5</v>
      </c>
      <c r="J81" s="620" t="s">
        <v>360</v>
      </c>
      <c r="K81" s="40">
        <v>1977</v>
      </c>
      <c r="L81" s="193" t="s">
        <v>452</v>
      </c>
      <c r="M81" s="652" t="str">
        <f t="shared" si="144"/>
        <v>VC</v>
      </c>
      <c r="N81" s="199"/>
      <c r="O81" s="621" t="e">
        <f t="shared" si="145"/>
        <v>#VALUE!</v>
      </c>
      <c r="P81" s="40" t="s">
        <v>256</v>
      </c>
      <c r="Q81" s="371" t="str">
        <f>VLOOKUP(P81,'[1]- DLiêu Gốc (Không sửa)'!$C$2:$H$116,2,0)</f>
        <v>0,4</v>
      </c>
      <c r="R81" s="650" t="s">
        <v>382</v>
      </c>
      <c r="S81" s="646" t="s">
        <v>557</v>
      </c>
      <c r="T81" s="38" t="str">
        <f>VLOOKUP(Y81,'Du lieu lien quan'!$C$2:$H$60,5,0)</f>
        <v>A2</v>
      </c>
      <c r="U81" s="39" t="str">
        <f>VLOOKUP(Y81,'Du lieu lien quan'!$C$2:$H$60,6,0)</f>
        <v>A2.1</v>
      </c>
      <c r="V81" s="663" t="s">
        <v>424</v>
      </c>
      <c r="W81" s="370" t="str">
        <f t="shared" si="146"/>
        <v>Giảng viên chính (hạng II)</v>
      </c>
      <c r="X81" s="373" t="str">
        <f t="shared" si="147"/>
        <v>V.07.01.02</v>
      </c>
      <c r="Y81" s="397" t="s">
        <v>431</v>
      </c>
      <c r="Z81" s="397" t="str">
        <f>VLOOKUP(Y81,'Du lieu lien quan'!$C$1:$H$133,2,0)</f>
        <v>V.07.01.02</v>
      </c>
      <c r="AA81" s="52" t="str">
        <f t="shared" si="148"/>
        <v>Lương</v>
      </c>
      <c r="AB81" s="175">
        <v>0</v>
      </c>
      <c r="AC81" s="495" t="str">
        <f t="shared" si="149"/>
        <v>/</v>
      </c>
      <c r="AD81" s="208">
        <f t="shared" si="150"/>
        <v>8</v>
      </c>
      <c r="AE81" s="54">
        <f t="shared" si="151"/>
        <v>4.0600000000000005</v>
      </c>
      <c r="AF81" s="409"/>
      <c r="AG81" s="409"/>
      <c r="AH81" s="700" t="s">
        <v>342</v>
      </c>
      <c r="AI81" s="699" t="s">
        <v>360</v>
      </c>
      <c r="AJ81" s="695" t="s">
        <v>350</v>
      </c>
      <c r="AK81" s="699" t="s">
        <v>360</v>
      </c>
      <c r="AL81" s="876">
        <v>2017</v>
      </c>
      <c r="AM81" s="162"/>
      <c r="AN81" s="53"/>
      <c r="AO81" s="45">
        <f t="shared" si="152"/>
        <v>1</v>
      </c>
      <c r="AP81" s="490" t="str">
        <f t="shared" si="153"/>
        <v>/</v>
      </c>
      <c r="AQ81" s="87">
        <f t="shared" si="154"/>
        <v>8</v>
      </c>
      <c r="AR81" s="47">
        <f t="shared" si="155"/>
        <v>4.4000000000000004</v>
      </c>
      <c r="AS81" s="413"/>
      <c r="AT81" s="48" t="s">
        <v>342</v>
      </c>
      <c r="AU81" s="484" t="s">
        <v>360</v>
      </c>
      <c r="AV81" s="49" t="s">
        <v>17</v>
      </c>
      <c r="AW81" s="484" t="s">
        <v>360</v>
      </c>
      <c r="AX81" s="50">
        <v>2020</v>
      </c>
      <c r="AY81" s="91"/>
      <c r="AZ81" s="266" t="s">
        <v>638</v>
      </c>
      <c r="BA81" s="480"/>
      <c r="BB81" s="51">
        <f t="shared" si="156"/>
        <v>3</v>
      </c>
      <c r="BC81" s="328">
        <f t="shared" si="157"/>
        <v>-24246</v>
      </c>
      <c r="BD81" s="280">
        <f>VLOOKUP(Y81,'Du lieu lien quan'!$C$1:$F$60,3,0)</f>
        <v>4.4000000000000004</v>
      </c>
      <c r="BE81" s="280">
        <f>VLOOKUP(Y81,'Du lieu lien quan'!$C$1:$F$60,4,0)</f>
        <v>0.34</v>
      </c>
      <c r="BF81" s="57" t="str">
        <f t="shared" si="158"/>
        <v>PCTN</v>
      </c>
      <c r="BG81" s="58">
        <v>18</v>
      </c>
      <c r="BH81" s="424" t="s">
        <v>333</v>
      </c>
      <c r="BI81" s="60" t="s">
        <v>342</v>
      </c>
      <c r="BJ81" s="489" t="s">
        <v>360</v>
      </c>
      <c r="BK81" s="422">
        <v>5</v>
      </c>
      <c r="BL81" s="489" t="s">
        <v>360</v>
      </c>
      <c r="BM81" s="50">
        <v>2021</v>
      </c>
      <c r="BN81" s="162"/>
      <c r="BO81" s="62"/>
      <c r="BP81" s="59">
        <f t="shared" si="159"/>
        <v>19</v>
      </c>
      <c r="BQ81" s="429" t="s">
        <v>333</v>
      </c>
      <c r="BR81" s="60" t="s">
        <v>342</v>
      </c>
      <c r="BS81" s="484" t="s">
        <v>360</v>
      </c>
      <c r="BT81" s="420">
        <v>5</v>
      </c>
      <c r="BU81" s="484" t="s">
        <v>360</v>
      </c>
      <c r="BV81" s="50">
        <v>2022</v>
      </c>
      <c r="BW81" s="61"/>
      <c r="BX81" s="161">
        <v>5</v>
      </c>
      <c r="BY81" s="329">
        <f t="shared" si="160"/>
        <v>-24269</v>
      </c>
      <c r="BZ81" s="57" t="str">
        <f t="shared" si="161"/>
        <v>- - -</v>
      </c>
      <c r="CA81" s="392" t="str">
        <f t="shared" si="162"/>
        <v>Chánh Văn phòng Học viện, Trưởng Ban Tổ chức - Cán bộ, Trưởng Phân viện Học viện Hành chính Quốc gia tại Thành phố Hồ Chí Minh</v>
      </c>
      <c r="CB81" s="63" t="str">
        <f t="shared" si="163"/>
        <v>A</v>
      </c>
      <c r="CC81" s="41" t="str">
        <f t="shared" si="164"/>
        <v>=&gt; s</v>
      </c>
      <c r="CD81" s="52">
        <f t="shared" si="165"/>
        <v>24270</v>
      </c>
      <c r="CE81" s="35" t="str">
        <f t="shared" si="166"/>
        <v>---</v>
      </c>
      <c r="CF81" s="35"/>
      <c r="CG81" s="379"/>
      <c r="CH81" s="35"/>
      <c r="CI81" s="135"/>
      <c r="CJ81" s="35" t="str">
        <f t="shared" si="167"/>
        <v>- - -</v>
      </c>
      <c r="CK81" s="55" t="str">
        <f t="shared" si="168"/>
        <v>- - -</v>
      </c>
      <c r="CL81" s="65"/>
      <c r="CM81" s="66"/>
      <c r="CN81" s="65"/>
      <c r="CO81" s="84"/>
      <c r="CP81" s="55" t="str">
        <f t="shared" si="169"/>
        <v>- - -</v>
      </c>
      <c r="CQ81" s="65"/>
      <c r="CR81" s="66"/>
      <c r="CS81" s="65"/>
      <c r="CT81" s="84"/>
      <c r="CU81" s="69" t="str">
        <f t="shared" si="170"/>
        <v>---</v>
      </c>
      <c r="CV81" s="70" t="str">
        <f t="shared" si="171"/>
        <v>/-/ /-/</v>
      </c>
      <c r="CW81" s="67">
        <f t="shared" si="172"/>
        <v>6</v>
      </c>
      <c r="CX81" s="68">
        <f t="shared" si="173"/>
        <v>2032</v>
      </c>
      <c r="CY81" s="67">
        <f t="shared" si="174"/>
        <v>3</v>
      </c>
      <c r="CZ81" s="68">
        <f t="shared" si="175"/>
        <v>2032</v>
      </c>
      <c r="DA81" s="67">
        <f t="shared" si="176"/>
        <v>12</v>
      </c>
      <c r="DB81" s="68">
        <f t="shared" si="177"/>
        <v>2031</v>
      </c>
      <c r="DC81" s="71" t="str">
        <f t="shared" si="178"/>
        <v>- - -</v>
      </c>
      <c r="DD81" s="72" t="str">
        <f t="shared" si="179"/>
        <v>. .</v>
      </c>
      <c r="DE81" s="72"/>
      <c r="DF81" s="52">
        <f t="shared" si="180"/>
        <v>660</v>
      </c>
      <c r="DG81" s="52">
        <f t="shared" si="181"/>
        <v>-23717</v>
      </c>
      <c r="DH81" s="52">
        <f t="shared" si="182"/>
        <v>-1977</v>
      </c>
      <c r="DI81" s="52" t="str">
        <f t="shared" si="183"/>
        <v>Nữ dưới 30</v>
      </c>
      <c r="DJ81" s="52"/>
      <c r="DK81" s="52"/>
      <c r="DL81" s="57" t="str">
        <f t="shared" si="184"/>
        <v>Đến 30</v>
      </c>
      <c r="DM81" s="65" t="str">
        <f t="shared" si="185"/>
        <v>TD</v>
      </c>
      <c r="DN81" s="36">
        <v>2008</v>
      </c>
      <c r="DO81" s="35"/>
      <c r="DP81" s="73"/>
      <c r="DQ81" s="36"/>
      <c r="DR81" s="84"/>
      <c r="DS81" s="85"/>
      <c r="DT81" s="86"/>
      <c r="DU81" s="76"/>
      <c r="DV81" s="91"/>
      <c r="DW81" s="201" t="s">
        <v>382</v>
      </c>
      <c r="DX81" s="391" t="s">
        <v>416</v>
      </c>
      <c r="DY81" s="37" t="s">
        <v>9</v>
      </c>
      <c r="DZ81" s="48" t="s">
        <v>342</v>
      </c>
      <c r="EA81" s="49" t="s">
        <v>360</v>
      </c>
      <c r="EB81" s="49" t="s">
        <v>350</v>
      </c>
      <c r="EC81" s="49" t="s">
        <v>360</v>
      </c>
      <c r="ED81" s="77" t="s">
        <v>364</v>
      </c>
      <c r="EE81" s="49">
        <f t="shared" si="186"/>
        <v>0</v>
      </c>
      <c r="EF81" s="78" t="str">
        <f t="shared" si="187"/>
        <v>- - -</v>
      </c>
      <c r="EG81" s="48" t="s">
        <v>342</v>
      </c>
      <c r="EH81" s="49" t="s">
        <v>360</v>
      </c>
      <c r="EI81" s="49" t="s">
        <v>350</v>
      </c>
      <c r="EJ81" s="49" t="s">
        <v>360</v>
      </c>
      <c r="EK81" s="77" t="s">
        <v>364</v>
      </c>
      <c r="EL81" s="35"/>
      <c r="EM81" s="55">
        <f t="shared" si="188"/>
        <v>3.74</v>
      </c>
      <c r="EN81" s="79" t="str">
        <f t="shared" si="189"/>
        <v>---</v>
      </c>
      <c r="EO81" s="91"/>
    </row>
    <row r="82" spans="1:174" s="80" customFormat="1" ht="11.25" customHeight="1" x14ac:dyDescent="0.25">
      <c r="A82" s="101">
        <v>703</v>
      </c>
      <c r="B82" s="371">
        <v>45</v>
      </c>
      <c r="C82" s="649"/>
      <c r="D82" s="649" t="str">
        <f t="shared" si="143"/>
        <v>Ông</v>
      </c>
      <c r="E82" s="650" t="s">
        <v>295</v>
      </c>
      <c r="F82" s="649" t="s">
        <v>379</v>
      </c>
      <c r="G82" s="635" t="s">
        <v>276</v>
      </c>
      <c r="H82" s="247" t="s">
        <v>360</v>
      </c>
      <c r="I82" s="635">
        <v>8</v>
      </c>
      <c r="J82" s="247" t="s">
        <v>360</v>
      </c>
      <c r="K82" s="650">
        <v>1978</v>
      </c>
      <c r="L82" s="193" t="s">
        <v>452</v>
      </c>
      <c r="M82" s="652" t="str">
        <f t="shared" si="144"/>
        <v>VC</v>
      </c>
      <c r="N82" s="199"/>
      <c r="O82" s="621" t="e">
        <f t="shared" si="145"/>
        <v>#VALUE!</v>
      </c>
      <c r="P82" s="650" t="s">
        <v>255</v>
      </c>
      <c r="Q82" s="371" t="str">
        <f>VLOOKUP(P82,'[1]- DLiêu Gốc (Không sửa)'!$C$2:$H$116,2,0)</f>
        <v>0,6</v>
      </c>
      <c r="R82" s="650" t="s">
        <v>570</v>
      </c>
      <c r="S82" s="646" t="s">
        <v>557</v>
      </c>
      <c r="T82" s="186" t="str">
        <f>VLOOKUP(Y82,'Du lieu lien quan'!$C$2:$H$60,5,0)</f>
        <v>A2</v>
      </c>
      <c r="U82" s="187" t="str">
        <f>VLOOKUP(Y82,'Du lieu lien quan'!$C$2:$H$60,6,0)</f>
        <v>A2.1</v>
      </c>
      <c r="V82" s="663" t="s">
        <v>424</v>
      </c>
      <c r="W82" s="370" t="str">
        <f t="shared" si="146"/>
        <v>Giảng viên chính (hạng II)</v>
      </c>
      <c r="X82" s="663" t="str">
        <f t="shared" si="147"/>
        <v>V.07.01.02</v>
      </c>
      <c r="Y82" s="397" t="s">
        <v>431</v>
      </c>
      <c r="Z82" s="397" t="str">
        <f>VLOOKUP(Y82,'Du lieu lien quan'!$C$1:$H$133,2,0)</f>
        <v>V.07.01.02</v>
      </c>
      <c r="AA82" s="652" t="str">
        <f t="shared" si="148"/>
        <v>Lương</v>
      </c>
      <c r="AB82" s="188">
        <v>1</v>
      </c>
      <c r="AC82" s="495" t="str">
        <f t="shared" si="149"/>
        <v>/</v>
      </c>
      <c r="AD82" s="208">
        <f t="shared" si="150"/>
        <v>8</v>
      </c>
      <c r="AE82" s="653">
        <f t="shared" si="151"/>
        <v>4.4000000000000004</v>
      </c>
      <c r="AF82" s="410"/>
      <c r="AG82" s="410"/>
      <c r="AH82" s="529"/>
      <c r="AI82" s="493" t="s">
        <v>360</v>
      </c>
      <c r="AJ82" s="191"/>
      <c r="AK82" s="493" t="s">
        <v>360</v>
      </c>
      <c r="AL82" s="881"/>
      <c r="AM82" s="657"/>
      <c r="AN82" s="195"/>
      <c r="AO82" s="190">
        <f t="shared" si="152"/>
        <v>2</v>
      </c>
      <c r="AP82" s="498" t="str">
        <f t="shared" si="153"/>
        <v>/</v>
      </c>
      <c r="AQ82" s="192">
        <f t="shared" si="154"/>
        <v>8</v>
      </c>
      <c r="AR82" s="193">
        <f t="shared" si="155"/>
        <v>4.74</v>
      </c>
      <c r="AS82" s="415"/>
      <c r="AT82" s="654" t="s">
        <v>342</v>
      </c>
      <c r="AU82" s="687" t="s">
        <v>360</v>
      </c>
      <c r="AV82" s="655" t="s">
        <v>327</v>
      </c>
      <c r="AW82" s="687" t="s">
        <v>360</v>
      </c>
      <c r="AX82" s="681">
        <v>2020</v>
      </c>
      <c r="AY82" s="676"/>
      <c r="AZ82" s="476" t="s">
        <v>629</v>
      </c>
      <c r="BA82" s="479"/>
      <c r="BB82" s="656">
        <f t="shared" si="156"/>
        <v>3</v>
      </c>
      <c r="BC82" s="328">
        <f t="shared" si="157"/>
        <v>-24247</v>
      </c>
      <c r="BD82" s="280">
        <f>VLOOKUP(Y82,'Du lieu lien quan'!$C$1:$F$60,3,0)</f>
        <v>4.4000000000000004</v>
      </c>
      <c r="BE82" s="280">
        <f>VLOOKUP(Y82,'Du lieu lien quan'!$C$1:$F$60,4,0)</f>
        <v>0.34</v>
      </c>
      <c r="BF82" s="658" t="str">
        <f t="shared" si="158"/>
        <v>PCTN</v>
      </c>
      <c r="BG82" s="660">
        <v>18</v>
      </c>
      <c r="BH82" s="686" t="s">
        <v>333</v>
      </c>
      <c r="BI82" s="60" t="s">
        <v>342</v>
      </c>
      <c r="BJ82" s="489" t="s">
        <v>360</v>
      </c>
      <c r="BK82" s="422">
        <v>5</v>
      </c>
      <c r="BL82" s="489" t="s">
        <v>360</v>
      </c>
      <c r="BM82" s="50">
        <v>2021</v>
      </c>
      <c r="BN82" s="657"/>
      <c r="BO82" s="198"/>
      <c r="BP82" s="660">
        <f t="shared" si="159"/>
        <v>19</v>
      </c>
      <c r="BQ82" s="430" t="s">
        <v>333</v>
      </c>
      <c r="BR82" s="60" t="s">
        <v>342</v>
      </c>
      <c r="BS82" s="687" t="s">
        <v>360</v>
      </c>
      <c r="BT82" s="685">
        <v>5</v>
      </c>
      <c r="BU82" s="687" t="s">
        <v>360</v>
      </c>
      <c r="BV82" s="50">
        <v>2022</v>
      </c>
      <c r="BW82" s="197"/>
      <c r="BX82" s="161">
        <v>5</v>
      </c>
      <c r="BY82" s="329">
        <f t="shared" si="160"/>
        <v>-24269</v>
      </c>
      <c r="BZ82" s="658" t="str">
        <f t="shared" si="161"/>
        <v>- - -</v>
      </c>
      <c r="CA82" s="392" t="str">
        <f t="shared" si="162"/>
        <v>Chánh Văn phòng Học viện, Trưởng Ban Tổ chức - Cán bộ, Trưởng Phân viện Học viện Hành chính Quốc gia tại Thành phố Hồ Chí Minh</v>
      </c>
      <c r="CB82" s="661" t="str">
        <f t="shared" si="163"/>
        <v>A</v>
      </c>
      <c r="CC82" s="662" t="str">
        <f t="shared" si="164"/>
        <v>=&gt; s</v>
      </c>
      <c r="CD82" s="652">
        <f t="shared" si="165"/>
        <v>24271</v>
      </c>
      <c r="CE82" s="649" t="str">
        <f t="shared" si="166"/>
        <v>S</v>
      </c>
      <c r="CF82" s="649">
        <v>2014</v>
      </c>
      <c r="CG82" s="381"/>
      <c r="CH82" s="649"/>
      <c r="CI82" s="649"/>
      <c r="CJ82" s="649" t="str">
        <f t="shared" si="167"/>
        <v>- - -</v>
      </c>
      <c r="CK82" s="664" t="str">
        <f t="shared" si="168"/>
        <v>- - -</v>
      </c>
      <c r="CL82" s="665"/>
      <c r="CM82" s="666"/>
      <c r="CN82" s="665"/>
      <c r="CO82" s="667"/>
      <c r="CP82" s="664" t="str">
        <f t="shared" si="169"/>
        <v>- - -</v>
      </c>
      <c r="CQ82" s="665"/>
      <c r="CR82" s="666"/>
      <c r="CS82" s="665"/>
      <c r="CT82" s="667"/>
      <c r="CU82" s="668" t="str">
        <f t="shared" si="170"/>
        <v>---</v>
      </c>
      <c r="CV82" s="200" t="str">
        <f t="shared" si="171"/>
        <v>/-/ /-/</v>
      </c>
      <c r="CW82" s="669">
        <f t="shared" si="172"/>
        <v>9</v>
      </c>
      <c r="CX82" s="670">
        <f t="shared" si="173"/>
        <v>2038</v>
      </c>
      <c r="CY82" s="669">
        <f t="shared" si="174"/>
        <v>6</v>
      </c>
      <c r="CZ82" s="670">
        <f t="shared" si="175"/>
        <v>2038</v>
      </c>
      <c r="DA82" s="669">
        <f t="shared" si="176"/>
        <v>3</v>
      </c>
      <c r="DB82" s="670">
        <f t="shared" si="177"/>
        <v>2038</v>
      </c>
      <c r="DC82" s="671" t="str">
        <f t="shared" si="178"/>
        <v>- - -</v>
      </c>
      <c r="DD82" s="672" t="str">
        <f t="shared" si="179"/>
        <v>. .</v>
      </c>
      <c r="DE82" s="386"/>
      <c r="DF82" s="652">
        <f t="shared" si="180"/>
        <v>720</v>
      </c>
      <c r="DG82" s="652">
        <f t="shared" si="181"/>
        <v>-23732</v>
      </c>
      <c r="DH82" s="652">
        <f t="shared" si="182"/>
        <v>-1978</v>
      </c>
      <c r="DI82" s="652" t="str">
        <f t="shared" si="183"/>
        <v>Nam dưới 35</v>
      </c>
      <c r="DJ82" s="652"/>
      <c r="DK82" s="652"/>
      <c r="DL82" s="658" t="str">
        <f t="shared" si="184"/>
        <v>Đến 30</v>
      </c>
      <c r="DM82" s="665" t="str">
        <f t="shared" si="185"/>
        <v>TD</v>
      </c>
      <c r="DN82" s="651">
        <v>2008</v>
      </c>
      <c r="DO82" s="649"/>
      <c r="DP82" s="384"/>
      <c r="DQ82" s="651"/>
      <c r="DR82" s="651"/>
      <c r="DS82" s="202"/>
      <c r="DT82" s="650"/>
      <c r="DU82" s="675"/>
      <c r="DV82" s="676"/>
      <c r="DW82" s="201" t="s">
        <v>88</v>
      </c>
      <c r="DX82" s="391" t="s">
        <v>416</v>
      </c>
      <c r="DY82" s="201" t="s">
        <v>88</v>
      </c>
      <c r="DZ82" s="387" t="s">
        <v>342</v>
      </c>
      <c r="EA82" s="655" t="s">
        <v>360</v>
      </c>
      <c r="EB82" s="655" t="s">
        <v>342</v>
      </c>
      <c r="EC82" s="655" t="s">
        <v>360</v>
      </c>
      <c r="ED82" s="677" t="s">
        <v>378</v>
      </c>
      <c r="EE82" s="655">
        <f t="shared" si="186"/>
        <v>0</v>
      </c>
      <c r="EF82" s="678" t="str">
        <f t="shared" si="187"/>
        <v>- - -</v>
      </c>
      <c r="EG82" s="387" t="s">
        <v>342</v>
      </c>
      <c r="EH82" s="655" t="s">
        <v>360</v>
      </c>
      <c r="EI82" s="655" t="s">
        <v>342</v>
      </c>
      <c r="EJ82" s="655" t="s">
        <v>360</v>
      </c>
      <c r="EK82" s="677" t="s">
        <v>378</v>
      </c>
      <c r="EL82" s="649"/>
      <c r="EM82" s="664" t="str">
        <f t="shared" si="188"/>
        <v>- - -</v>
      </c>
      <c r="EN82" s="679" t="str">
        <f t="shared" si="189"/>
        <v>---</v>
      </c>
      <c r="EO82" s="676"/>
    </row>
    <row r="83" spans="1:174" s="80" customFormat="1" ht="11.25" customHeight="1" x14ac:dyDescent="0.2">
      <c r="A83" s="101">
        <v>696</v>
      </c>
      <c r="B83" s="517">
        <v>30</v>
      </c>
      <c r="C83" s="35"/>
      <c r="D83" s="35" t="str">
        <f t="shared" ref="D83:D84" si="190">IF(F83="Nam","Ông","Bà")</f>
        <v>Bà</v>
      </c>
      <c r="E83" s="40" t="s">
        <v>142</v>
      </c>
      <c r="F83" s="35" t="s">
        <v>381</v>
      </c>
      <c r="G83" s="64" t="s">
        <v>287</v>
      </c>
      <c r="H83" s="620" t="s">
        <v>360</v>
      </c>
      <c r="I83" s="64">
        <v>5</v>
      </c>
      <c r="J83" s="620" t="s">
        <v>360</v>
      </c>
      <c r="K83" s="40">
        <v>1977</v>
      </c>
      <c r="L83" s="193" t="s">
        <v>452</v>
      </c>
      <c r="M83" s="652" t="str">
        <f t="shared" ref="M83:M84" si="191">IF(L83="công chức","CC",IF(L83="viên chức","VC",IF(L83="người lao động","NLĐ","- - -")))</f>
        <v>VC</v>
      </c>
      <c r="N83" s="199"/>
      <c r="O83" s="621" t="e">
        <f t="shared" ref="O83:O84" si="192">IF(AND((Q83+0)&gt;0.3,(Q83+0)&lt;1.5),"CVụ","- -")</f>
        <v>#VALUE!</v>
      </c>
      <c r="P83" s="40" t="s">
        <v>256</v>
      </c>
      <c r="Q83" s="371" t="str">
        <f>VLOOKUP(P83,'[1]- DLiêu Gốc (Không sửa)'!$C$2:$H$116,2,0)</f>
        <v>0,4</v>
      </c>
      <c r="R83" s="650" t="s">
        <v>382</v>
      </c>
      <c r="S83" s="646" t="s">
        <v>557</v>
      </c>
      <c r="T83" s="38" t="str">
        <f>VLOOKUP(Y83,'Du lieu lien quan'!$C$2:$H$60,5,0)</f>
        <v>A2</v>
      </c>
      <c r="U83" s="39" t="str">
        <f>VLOOKUP(Y83,'Du lieu lien quan'!$C$2:$H$60,6,0)</f>
        <v>A2.1</v>
      </c>
      <c r="V83" s="663" t="s">
        <v>424</v>
      </c>
      <c r="W83" s="370" t="str">
        <f t="shared" ref="W83:W84" si="193">IF(OR(Y83="Kỹ thuật viên đánh máy",Y83="Nhân viên đánh máy",Y83="Nhân viên kỹ thuật",Y83="Nhân viên văn thư",Y83="Nhân viên phục vụ",Y83="Lái xe cơ quan",Y83="Nhân viên bảo vệ"),"Nhân viên",Y83)</f>
        <v>Giảng viên chính (hạng II)</v>
      </c>
      <c r="X83" s="373" t="str">
        <f t="shared" ref="X83:X84" si="194">IF(W83="Nhân viên","01.005",Z83)</f>
        <v>V.07.01.02</v>
      </c>
      <c r="Y83" s="397" t="s">
        <v>431</v>
      </c>
      <c r="Z83" s="397" t="str">
        <f>VLOOKUP(Y83,'Du lieu lien quan'!$C$1:$H$133,2,0)</f>
        <v>V.07.01.02</v>
      </c>
      <c r="AA83" s="52" t="str">
        <f t="shared" ref="AA83:AA84" si="195">IF(OR(AND(BC83=36,BB83=3),AND(BC83=24,BB83=2),AND(BC83=12,BB83=1)),"Đến $",IF(OR(AND(BC83&gt;36,BB83=3),AND(BC83&gt;24,BB83=2),AND(BC83&gt;12,BB83=1)),"Dừng $","Lương"))</f>
        <v>Lương</v>
      </c>
      <c r="AB83" s="175">
        <v>0</v>
      </c>
      <c r="AC83" s="495" t="str">
        <f t="shared" ref="AC83:AC84" si="196">IF(AD83&gt;0,"/")</f>
        <v>/</v>
      </c>
      <c r="AD83" s="208">
        <f t="shared" ref="AD83:AD84" si="197">IF(OR(BE83=0.18,BE83=0.2),12,IF(BE83=0.31,10,IF(BE83=0.33,9,IF(BE83=0.34,8,IF(BE83=0.36,6)))))</f>
        <v>8</v>
      </c>
      <c r="AE83" s="54">
        <f t="shared" ref="AE83:AE84" si="198">BD83+(AB83-1)*BE83</f>
        <v>4.0600000000000005</v>
      </c>
      <c r="AF83" s="409"/>
      <c r="AG83" s="409"/>
      <c r="AH83" s="700" t="s">
        <v>342</v>
      </c>
      <c r="AI83" s="699" t="s">
        <v>360</v>
      </c>
      <c r="AJ83" s="695" t="s">
        <v>350</v>
      </c>
      <c r="AK83" s="699" t="s">
        <v>360</v>
      </c>
      <c r="AL83" s="876">
        <v>2017</v>
      </c>
      <c r="AM83" s="162"/>
      <c r="AN83" s="53"/>
      <c r="AO83" s="45">
        <f t="shared" ref="AO83:AO84" si="199">AB83+1</f>
        <v>1</v>
      </c>
      <c r="AP83" s="490" t="str">
        <f t="shared" ref="AP83:AP84" si="200">IF(AD83=AB83,"%",IF(AD83&gt;AB83,"/"))</f>
        <v>/</v>
      </c>
      <c r="AQ83" s="87">
        <f t="shared" ref="AQ83:AQ84" si="201">IF(AND(AD83=AB83,AO83=4),5,IF(AND(AD83=AB83,AO83&gt;4),AO83+1,IF(AD83&gt;AB83,AD83)))</f>
        <v>8</v>
      </c>
      <c r="AR83" s="47">
        <f t="shared" ref="AR83:AR84" si="202">IF(AD83=AB83,"%",IF(AD83&gt;AB83,AE83+BE83))</f>
        <v>4.4000000000000004</v>
      </c>
      <c r="AS83" s="413"/>
      <c r="AT83" s="48" t="s">
        <v>342</v>
      </c>
      <c r="AU83" s="484" t="s">
        <v>360</v>
      </c>
      <c r="AV83" s="49" t="s">
        <v>17</v>
      </c>
      <c r="AW83" s="484" t="s">
        <v>360</v>
      </c>
      <c r="AX83" s="50">
        <v>2020</v>
      </c>
      <c r="AY83" s="91"/>
      <c r="AZ83" s="469" t="s">
        <v>638</v>
      </c>
      <c r="BA83" s="480"/>
      <c r="BB83" s="51">
        <f t="shared" ref="BB83:BB84" si="203">IF(AND(AD83&gt;AB83,OR(BE83=0.18,BE83=0.2)),2,IF(AND(AD83&gt;AB83,OR(BE83=0.31,BE83=0.33,BE83=0.34,BE83=0.36)),3,IF(AD83=AB83,1)))</f>
        <v>3</v>
      </c>
      <c r="BC83" s="328">
        <f t="shared" ref="BC83:BC84" si="204">12*($AA$2-AX83)+($AA$3-AV83)-AM83</f>
        <v>-24246</v>
      </c>
      <c r="BD83" s="280">
        <f>VLOOKUP(Y83,'Du lieu lien quan'!$C$1:$F$60,3,0)</f>
        <v>4.4000000000000004</v>
      </c>
      <c r="BE83" s="280">
        <f>VLOOKUP(Y83,'Du lieu lien quan'!$C$1:$F$60,4,0)</f>
        <v>0.34</v>
      </c>
      <c r="BF83" s="57" t="str">
        <f t="shared" ref="BF83:BF84" si="205">IF(AND(BG83&gt;3,BY83=12),"Đến %",IF(AND(BG83&gt;3,BY83&gt;12,BY83&lt;120),"Dừng %",IF(AND(BG83&gt;3,BY83&lt;12),"PCTN","o-o-o")))</f>
        <v>PCTN</v>
      </c>
      <c r="BG83" s="59">
        <v>17</v>
      </c>
      <c r="BH83" s="424" t="s">
        <v>333</v>
      </c>
      <c r="BI83" s="60" t="s">
        <v>342</v>
      </c>
      <c r="BJ83" s="489" t="s">
        <v>360</v>
      </c>
      <c r="BK83" s="422">
        <v>5</v>
      </c>
      <c r="BL83" s="489" t="s">
        <v>360</v>
      </c>
      <c r="BM83" s="50">
        <v>2020</v>
      </c>
      <c r="BN83" s="162"/>
      <c r="BO83" s="62"/>
      <c r="BP83" s="59">
        <f t="shared" ref="BP83:BP84" si="206">IF(BG83&gt;3,BG83+1,0)</f>
        <v>18</v>
      </c>
      <c r="BQ83" s="429" t="s">
        <v>333</v>
      </c>
      <c r="BR83" s="60" t="s">
        <v>342</v>
      </c>
      <c r="BS83" s="484" t="s">
        <v>360</v>
      </c>
      <c r="BT83" s="420">
        <v>5</v>
      </c>
      <c r="BU83" s="484" t="s">
        <v>360</v>
      </c>
      <c r="BV83" s="50">
        <v>2021</v>
      </c>
      <c r="BW83" s="61"/>
      <c r="BX83" s="161">
        <v>5</v>
      </c>
      <c r="BY83" s="329">
        <f t="shared" ref="BY83:BY84" si="207">IF(BG83&gt;3,(($BF$2-BV83)*12+($BF$3-BT83)-BN83),"- - -")</f>
        <v>-24257</v>
      </c>
      <c r="BZ83" s="57" t="str">
        <f t="shared" ref="BZ83:BZ84" si="208">IF(AND(CV83="Hưu",BG83&gt;3),12-(12*(DB83-BV83)+(DA83-BT83))-BN83,"- - -")</f>
        <v>- - -</v>
      </c>
      <c r="CA83" s="392" t="str">
        <f t="shared" ref="CA83:CA84" si="209">IF(OR(S83="Ban Tổ chức - Cán bộ",S83="Văn phòng Học viện",S83="Phó Giám đốc Thường trực Học viện",S83="Phó Giám đốc Học viện"),"Chánh Văn phòng Học viện, Trưởng Ban Tổ chức - Cán bộ",IF(OR(S83="Trung tâm Ngoại ngữ",S83="Trung tâm Tin học hành chính và Công nghệ thông tin",S83="Trung tâm Tin học - Thư viện",S83="Phân viện khu vực Tây Nguyên"),"Chánh Văn phòng Học viện, Trưởng Ban Tổ chức - Cán bộ, "&amp;CONCATENATE("Giám đốc ",S83),IF(S83="Tạp chí Quản lý nhà nước","Chánh Văn phòng Học viện, Trưởng Ban Tổ chức - Cán bộ, "&amp;CONCATENATE("Tổng Biên tập ",S83),IF(S83="Văn phòng Đảng uỷ Học viện","Chánh Văn phòng Học viện, Trưởng Ban Tổ chức - Cán bộ, "&amp;CONCATENATE("Chánh",S83),IF(S83="Viện Nghiên cứu Khoa học hành chính","Chánh Văn phòng Học viện, Trưởng Ban Tổ chức - Cán bộ, "&amp;CONCATENATE("Viện Trưởng ",S83),IF(OR(S83="Cơ sở Học viện Hành chính Quốc gia khu vực miền Trung",S83="Cơ sở Học viện Hành chính Quốc gia tại Thành phố Hồ Chí Minh"),"Chánh Văn phòng Học viện, Trưởng Ban Tổ chức - Cán bộ, "&amp;CONCATENATE("Thủ trưởng ",S83),"Chánh Văn phòng Học viện, Trưởng Ban Tổ chức - Cán bộ, "&amp;CONCATENATE("Trưởng ",S83)))))))</f>
        <v>Chánh Văn phòng Học viện, Trưởng Ban Tổ chức - Cán bộ, Trưởng Phân viện Học viện Hành chính Quốc gia tại Thành phố Hồ Chí Minh</v>
      </c>
      <c r="CB83" s="63" t="str">
        <f t="shared" ref="CB83:CB84" si="210">IF(S83="Cơ sở Học viện Hành chính khu vực miền Trung","B",IF(S83="Phân viện Khu vực Tây Nguyên","C",IF(S83="Cơ sở Học viện Hành chính tại thành phố Hồ Chí Minh","D","A")))</f>
        <v>A</v>
      </c>
      <c r="CC83" s="41" t="str">
        <f t="shared" ref="CC83:CC84" si="211">IF(AND(AO83&gt;0,AB83&lt;(AD83-1),CD83&gt;0,CD83&lt;13,OR(AND(CJ83="Cùg Ng",($CC$2-CF83)&gt;BB83),CJ83="- - -")),"Sớm TT","=&gt; s")</f>
        <v>=&gt; s</v>
      </c>
      <c r="CD83" s="52">
        <f t="shared" ref="CD83:CD84" si="212">IF(BB83=3,36-(12*($CC$2-AX83)+(12-AV83)-AM83),IF(BB83=2,24-(12*($CC$2-AX83)+(12-AV83)-AM83),"---"))</f>
        <v>24270</v>
      </c>
      <c r="CE83" s="35" t="str">
        <f t="shared" ref="CE83:CE84" si="213">IF(CF83&gt;1,"S","---")</f>
        <v>---</v>
      </c>
      <c r="CF83" s="35"/>
      <c r="CG83" s="379"/>
      <c r="CH83" s="35"/>
      <c r="CI83" s="135"/>
      <c r="CJ83" s="35" t="str">
        <f t="shared" ref="CJ83:CJ84" si="214">IF(X83=CG83,"Cùg Ng","- - -")</f>
        <v>- - -</v>
      </c>
      <c r="CK83" s="55" t="str">
        <f t="shared" ref="CK83:CK84" si="215">IF(CM83&gt;2000,"NN","- - -")</f>
        <v>- - -</v>
      </c>
      <c r="CL83" s="65"/>
      <c r="CM83" s="66"/>
      <c r="CN83" s="65"/>
      <c r="CO83" s="84"/>
      <c r="CP83" s="55" t="str">
        <f t="shared" ref="CP83:CP84" si="216">IF(CR83&gt;2000,"CN","- - -")</f>
        <v>- - -</v>
      </c>
      <c r="CQ83" s="65"/>
      <c r="CR83" s="66"/>
      <c r="CS83" s="65"/>
      <c r="CT83" s="84"/>
      <c r="CU83" s="69" t="str">
        <f t="shared" ref="CU83:CU84" si="217">IF(AND(CV83="Hưu",AB83&lt;(AD83-1),DC83&gt;0,DC83&lt;18,OR(BG83&lt;4,AND(BG83&gt;3,OR(BZ83&lt;3,BZ83&gt;5)))),"Lg Sớm",IF(AND(CV83="Hưu",AB83&gt;(AD83-2),OR(BE83=0.33,BE83=0.34),OR(BG83&lt;4,AND(BG83&gt;3,OR(BZ83&lt;3,BZ83&gt;5)))),"Nâng Ngạch",IF(AND(CV83="Hưu",BB83=1,DC83&gt;2,DC83&lt;6,OR(BG83&lt;4,AND(BG83&gt;3,OR(BZ83&lt;3,BZ83&gt;5)))),"Nâng PcVK cùng QĐ",IF(AND(CV83="Hưu",BG83&gt;3,BZ83&gt;2,BZ83&lt;6,AB83&lt;(AD83-1),DC83&gt;17,OR(BB83&gt;1,AND(BB83=1,OR(DC83&lt;3,DC83&gt;5)))),"Nâng PcNG cùng QĐ",IF(AND(CV83="Hưu",AB83&lt;(AD83-1),DC83&gt;0,DC83&lt;18,BG83&gt;3,BZ83&gt;2,BZ83&lt;6),"Nâng Lg Sớm +(PcNG cùng QĐ)",IF(AND(CV83="Hưu",AB83&gt;(AD83-2),OR(BE83=0.33,BE83=0.34),BG83&gt;3,BZ83&gt;2,BZ83&lt;6),"Nâng Ngạch +(PcNG cùng QĐ)",IF(AND(CV83="Hưu",BB83=1,DC83&gt;2,DC83&lt;6,BG83&gt;3,BZ83&gt;2,BZ83&lt;6),"Nâng (PcVK +PcNG) cùng QĐ",("---"))))))))</f>
        <v>---</v>
      </c>
      <c r="CV83" s="70" t="str">
        <f t="shared" ref="CV83:CV84" si="218">IF(AND(DG83&gt;DF83,DG83&lt;(DF83+13)),"Hưu",IF(AND(DG83&gt;(DF83+12),DG83&lt;1000),"Quá","/-/ /-/"))</f>
        <v>/-/ /-/</v>
      </c>
      <c r="CW83" s="67">
        <f t="shared" ref="CW83:CW84" si="219">IF((I83+0)&lt;12,(I83+0)+1,IF((I83+0)=12,1,IF((I83+0)&gt;12,(I83+0)-12)))</f>
        <v>6</v>
      </c>
      <c r="CX83" s="68">
        <f t="shared" ref="CX83:CX84" si="220">IF(OR((I83+0)=12,(I83+0)&gt;12),K83+DF83/12+1,IF(AND((I83+0)&gt;0,(I83+0)&lt;12),K83+DF83/12,"---"))</f>
        <v>2032</v>
      </c>
      <c r="CY83" s="67">
        <f t="shared" ref="CY83:CY84" si="221">IF(AND(CW83&gt;3,CW83&lt;13),CW83-3,IF(CW83&lt;4,CW83-3+12))</f>
        <v>3</v>
      </c>
      <c r="CZ83" s="68">
        <f t="shared" ref="CZ83:CZ84" si="222">IF(CY83&lt;CW83,CX83,IF(CY83&gt;CW83,CX83-1))</f>
        <v>2032</v>
      </c>
      <c r="DA83" s="67">
        <f t="shared" ref="DA83:DA84" si="223">IF(CW83&gt;6,CW83-6,IF(CW83=6,12,IF(CW83&lt;6,CW83+6)))</f>
        <v>12</v>
      </c>
      <c r="DB83" s="68">
        <f t="shared" ref="DB83:DB84" si="224">IF(CW83&gt;6,CX83,IF(CW83&lt;7,CX83-1))</f>
        <v>2031</v>
      </c>
      <c r="DC83" s="71" t="str">
        <f t="shared" ref="DC83:DC84" si="225">IF(AND(CV83="Hưu",BB83=3),36+AM83-(12*(DB83-AX83)+(DA83-AV83)),IF(AND(CV83="Hưu",BB83=2),24+AM83-(12*(DB83-AX83)+(DA83-AV83)),IF(AND(CV83="Hưu",BB83=1),12+AM83-(12*(DB83-AX83)+(DA83-AV83)),"- - -")))</f>
        <v>- - -</v>
      </c>
      <c r="DD83" s="72" t="str">
        <f t="shared" ref="DD83:DD84" si="226">IF(DE83&gt;0,"K.Dài",". .")</f>
        <v>. .</v>
      </c>
      <c r="DE83" s="72"/>
      <c r="DF83" s="52">
        <f t="shared" ref="DF83:DF84" si="227">IF(F83="Nam",(60+DE83)*12,IF(F83="Nữ",(55+DE83)*12,))</f>
        <v>660</v>
      </c>
      <c r="DG83" s="52">
        <f t="shared" ref="DG83:DG84" si="228">12*($CV$4-K83)+(12-I83)</f>
        <v>-23717</v>
      </c>
      <c r="DH83" s="52">
        <f t="shared" ref="DH83:DH84" si="229">$DL$4-K83</f>
        <v>-1977</v>
      </c>
      <c r="DI83" s="52" t="str">
        <f t="shared" ref="DI83:DI84" si="230">IF(AND(DH83&lt;35,F83="Nam"),"Nam dưới 35",IF(AND(DH83&lt;30,F83="Nữ"),"Nữ dưới 30",IF(AND(DH83&gt;34,DH83&lt;46,F83="Nam"),"Nam từ 35 - 45",IF(AND(DH83&gt;29,DH83&lt;41,F83="Nữ"),"Nữ từ 30 - 40",IF(AND(DH83&gt;45,DH83&lt;56,F83="Nam"),"Nam trên 45 - 55",IF(AND(DH83&gt;40,DH83&lt;51,F83="Nữ"),"Nữ trên 40 - 50",IF(AND(DH83&gt;55,F83="Nam"),"Nam trên 55","Nữ trên 50")))))))</f>
        <v>Nữ dưới 30</v>
      </c>
      <c r="DJ83" s="52"/>
      <c r="DK83" s="52"/>
      <c r="DL83" s="57" t="str">
        <f t="shared" ref="DL83:DL84" si="231">IF(DH83&lt;31,"Đến 30",IF(AND(DH83&gt;30,DH83&lt;46),"31 - 45",IF(AND(DH83&gt;45,DH83&lt;70),"Trên 45")))</f>
        <v>Đến 30</v>
      </c>
      <c r="DM83" s="65" t="str">
        <f t="shared" ref="DM83:DM84" si="232">IF(DN83&gt;0,"TD","--")</f>
        <v>TD</v>
      </c>
      <c r="DN83" s="36">
        <v>2008</v>
      </c>
      <c r="DO83" s="35"/>
      <c r="DP83" s="73"/>
      <c r="DQ83" s="36"/>
      <c r="DR83" s="84"/>
      <c r="DS83" s="85"/>
      <c r="DT83" s="86"/>
      <c r="DU83" s="76"/>
      <c r="DV83" s="91"/>
      <c r="DW83" s="201" t="s">
        <v>382</v>
      </c>
      <c r="DX83" s="391" t="s">
        <v>416</v>
      </c>
      <c r="DY83" s="37" t="s">
        <v>9</v>
      </c>
      <c r="DZ83" s="48" t="s">
        <v>342</v>
      </c>
      <c r="EA83" s="49" t="s">
        <v>360</v>
      </c>
      <c r="EB83" s="49" t="s">
        <v>350</v>
      </c>
      <c r="EC83" s="49" t="s">
        <v>360</v>
      </c>
      <c r="ED83" s="77" t="s">
        <v>364</v>
      </c>
      <c r="EE83" s="49">
        <f t="shared" ref="EE83:EE84" si="233">(DZ83+0)-(EG83+0)</f>
        <v>0</v>
      </c>
      <c r="EF83" s="78" t="str">
        <f t="shared" ref="EF83:EF84" si="234">IF(EE83&gt;0,"Sửa","- - -")</f>
        <v>- - -</v>
      </c>
      <c r="EG83" s="48" t="s">
        <v>342</v>
      </c>
      <c r="EH83" s="49" t="s">
        <v>360</v>
      </c>
      <c r="EI83" s="49" t="s">
        <v>350</v>
      </c>
      <c r="EJ83" s="49" t="s">
        <v>360</v>
      </c>
      <c r="EK83" s="77" t="s">
        <v>364</v>
      </c>
      <c r="EL83" s="35"/>
      <c r="EM83" s="55">
        <f t="shared" ref="EM83:EM84" si="235">IF(AND(BE83&gt;0.34,AO83=1,OR(BD83=6.2,BD83=5.75)),((BD83-EL83)-2*0.34),IF(AND(BE83&gt;0.33,AO83=1,OR(BD83=4.4,BD83=4)),((BD83-EL83)-2*0.33),"- - -"))</f>
        <v>3.74</v>
      </c>
      <c r="EN83" s="79" t="str">
        <f t="shared" ref="EN83:EN84" si="236">IF(CV83="Hưu",12*(DB83-AX83)+(DA83-AV83),"---")</f>
        <v>---</v>
      </c>
      <c r="EO83" s="91"/>
    </row>
    <row r="84" spans="1:174" s="319" customFormat="1" ht="11.25" customHeight="1" x14ac:dyDescent="0.25">
      <c r="A84" s="101">
        <v>703</v>
      </c>
      <c r="B84" s="517">
        <v>31</v>
      </c>
      <c r="C84" s="649"/>
      <c r="D84" s="649" t="str">
        <f t="shared" si="190"/>
        <v>Ông</v>
      </c>
      <c r="E84" s="650" t="s">
        <v>295</v>
      </c>
      <c r="F84" s="649" t="s">
        <v>379</v>
      </c>
      <c r="G84" s="635" t="s">
        <v>276</v>
      </c>
      <c r="H84" s="247" t="s">
        <v>360</v>
      </c>
      <c r="I84" s="635">
        <v>8</v>
      </c>
      <c r="J84" s="247" t="s">
        <v>360</v>
      </c>
      <c r="K84" s="650">
        <v>1978</v>
      </c>
      <c r="L84" s="193" t="s">
        <v>452</v>
      </c>
      <c r="M84" s="652" t="str">
        <f t="shared" si="191"/>
        <v>VC</v>
      </c>
      <c r="N84" s="199"/>
      <c r="O84" s="621" t="e">
        <f t="shared" si="192"/>
        <v>#VALUE!</v>
      </c>
      <c r="P84" s="650" t="s">
        <v>255</v>
      </c>
      <c r="Q84" s="371" t="str">
        <f>VLOOKUP(P84,'[1]- DLiêu Gốc (Không sửa)'!$C$2:$H$116,2,0)</f>
        <v>0,6</v>
      </c>
      <c r="R84" s="650" t="s">
        <v>570</v>
      </c>
      <c r="S84" s="646" t="s">
        <v>557</v>
      </c>
      <c r="T84" s="186" t="str">
        <f>VLOOKUP(Y84,'Du lieu lien quan'!$C$2:$H$60,5,0)</f>
        <v>A2</v>
      </c>
      <c r="U84" s="187" t="str">
        <f>VLOOKUP(Y84,'Du lieu lien quan'!$C$2:$H$60,6,0)</f>
        <v>A2.1</v>
      </c>
      <c r="V84" s="663" t="s">
        <v>424</v>
      </c>
      <c r="W84" s="370" t="str">
        <f t="shared" si="193"/>
        <v>Giảng viên chính (hạng II)</v>
      </c>
      <c r="X84" s="663" t="str">
        <f t="shared" si="194"/>
        <v>V.07.01.02</v>
      </c>
      <c r="Y84" s="397" t="s">
        <v>431</v>
      </c>
      <c r="Z84" s="397" t="str">
        <f>VLOOKUP(Y84,'Du lieu lien quan'!$C$1:$H$133,2,0)</f>
        <v>V.07.01.02</v>
      </c>
      <c r="AA84" s="652" t="str">
        <f t="shared" si="195"/>
        <v>Lương</v>
      </c>
      <c r="AB84" s="188">
        <v>1</v>
      </c>
      <c r="AC84" s="495" t="str">
        <f t="shared" si="196"/>
        <v>/</v>
      </c>
      <c r="AD84" s="208">
        <f t="shared" si="197"/>
        <v>8</v>
      </c>
      <c r="AE84" s="653">
        <f t="shared" si="198"/>
        <v>4.4000000000000004</v>
      </c>
      <c r="AF84" s="410"/>
      <c r="AG84" s="410"/>
      <c r="AH84" s="529"/>
      <c r="AI84" s="493" t="s">
        <v>360</v>
      </c>
      <c r="AJ84" s="191"/>
      <c r="AK84" s="493" t="s">
        <v>360</v>
      </c>
      <c r="AL84" s="881"/>
      <c r="AM84" s="657"/>
      <c r="AN84" s="195"/>
      <c r="AO84" s="190">
        <f t="shared" si="199"/>
        <v>2</v>
      </c>
      <c r="AP84" s="498" t="str">
        <f t="shared" si="200"/>
        <v>/</v>
      </c>
      <c r="AQ84" s="192">
        <f t="shared" si="201"/>
        <v>8</v>
      </c>
      <c r="AR84" s="193">
        <f t="shared" si="202"/>
        <v>4.74</v>
      </c>
      <c r="AS84" s="415"/>
      <c r="AT84" s="654" t="s">
        <v>342</v>
      </c>
      <c r="AU84" s="687" t="s">
        <v>360</v>
      </c>
      <c r="AV84" s="655" t="s">
        <v>327</v>
      </c>
      <c r="AW84" s="687" t="s">
        <v>360</v>
      </c>
      <c r="AX84" s="681">
        <v>2020</v>
      </c>
      <c r="AY84" s="676"/>
      <c r="AZ84" s="476" t="s">
        <v>629</v>
      </c>
      <c r="BA84" s="479"/>
      <c r="BB84" s="656">
        <f t="shared" si="203"/>
        <v>3</v>
      </c>
      <c r="BC84" s="328">
        <f t="shared" si="204"/>
        <v>-24247</v>
      </c>
      <c r="BD84" s="280">
        <f>VLOOKUP(Y84,'Du lieu lien quan'!$C$1:$F$60,3,0)</f>
        <v>4.4000000000000004</v>
      </c>
      <c r="BE84" s="280">
        <f>VLOOKUP(Y84,'Du lieu lien quan'!$C$1:$F$60,4,0)</f>
        <v>0.34</v>
      </c>
      <c r="BF84" s="658" t="str">
        <f t="shared" si="205"/>
        <v>PCTN</v>
      </c>
      <c r="BG84" s="659">
        <v>17</v>
      </c>
      <c r="BH84" s="686" t="s">
        <v>333</v>
      </c>
      <c r="BI84" s="60" t="s">
        <v>342</v>
      </c>
      <c r="BJ84" s="489" t="s">
        <v>360</v>
      </c>
      <c r="BK84" s="422">
        <v>5</v>
      </c>
      <c r="BL84" s="489" t="s">
        <v>360</v>
      </c>
      <c r="BM84" s="50">
        <v>2020</v>
      </c>
      <c r="BN84" s="657"/>
      <c r="BO84" s="198"/>
      <c r="BP84" s="660">
        <f t="shared" si="206"/>
        <v>18</v>
      </c>
      <c r="BQ84" s="430" t="s">
        <v>333</v>
      </c>
      <c r="BR84" s="60" t="s">
        <v>342</v>
      </c>
      <c r="BS84" s="687" t="s">
        <v>360</v>
      </c>
      <c r="BT84" s="685">
        <v>5</v>
      </c>
      <c r="BU84" s="687" t="s">
        <v>360</v>
      </c>
      <c r="BV84" s="50">
        <v>2021</v>
      </c>
      <c r="BW84" s="197"/>
      <c r="BX84" s="161">
        <v>5</v>
      </c>
      <c r="BY84" s="329">
        <f t="shared" si="207"/>
        <v>-24257</v>
      </c>
      <c r="BZ84" s="658" t="str">
        <f t="shared" si="208"/>
        <v>- - -</v>
      </c>
      <c r="CA84" s="392" t="str">
        <f t="shared" si="209"/>
        <v>Chánh Văn phòng Học viện, Trưởng Ban Tổ chức - Cán bộ, Trưởng Phân viện Học viện Hành chính Quốc gia tại Thành phố Hồ Chí Minh</v>
      </c>
      <c r="CB84" s="661" t="str">
        <f t="shared" si="210"/>
        <v>A</v>
      </c>
      <c r="CC84" s="662" t="str">
        <f t="shared" si="211"/>
        <v>=&gt; s</v>
      </c>
      <c r="CD84" s="652">
        <f t="shared" si="212"/>
        <v>24271</v>
      </c>
      <c r="CE84" s="649" t="str">
        <f t="shared" si="213"/>
        <v>S</v>
      </c>
      <c r="CF84" s="649">
        <v>2014</v>
      </c>
      <c r="CG84" s="381"/>
      <c r="CH84" s="649"/>
      <c r="CI84" s="649"/>
      <c r="CJ84" s="649" t="str">
        <f t="shared" si="214"/>
        <v>- - -</v>
      </c>
      <c r="CK84" s="664" t="str">
        <f t="shared" si="215"/>
        <v>- - -</v>
      </c>
      <c r="CL84" s="665"/>
      <c r="CM84" s="666"/>
      <c r="CN84" s="665"/>
      <c r="CO84" s="667"/>
      <c r="CP84" s="664" t="str">
        <f t="shared" si="216"/>
        <v>- - -</v>
      </c>
      <c r="CQ84" s="665"/>
      <c r="CR84" s="651"/>
      <c r="CS84" s="665"/>
      <c r="CT84" s="667"/>
      <c r="CU84" s="668" t="str">
        <f t="shared" si="217"/>
        <v>---</v>
      </c>
      <c r="CV84" s="200" t="str">
        <f t="shared" si="218"/>
        <v>/-/ /-/</v>
      </c>
      <c r="CW84" s="669">
        <f t="shared" si="219"/>
        <v>9</v>
      </c>
      <c r="CX84" s="670">
        <f t="shared" si="220"/>
        <v>2038</v>
      </c>
      <c r="CY84" s="669">
        <f t="shared" si="221"/>
        <v>6</v>
      </c>
      <c r="CZ84" s="670">
        <f t="shared" si="222"/>
        <v>2038</v>
      </c>
      <c r="DA84" s="669">
        <f t="shared" si="223"/>
        <v>3</v>
      </c>
      <c r="DB84" s="670">
        <f t="shared" si="224"/>
        <v>2038</v>
      </c>
      <c r="DC84" s="671" t="str">
        <f t="shared" si="225"/>
        <v>- - -</v>
      </c>
      <c r="DD84" s="672" t="str">
        <f t="shared" si="226"/>
        <v>. .</v>
      </c>
      <c r="DE84" s="386"/>
      <c r="DF84" s="652">
        <f t="shared" si="227"/>
        <v>720</v>
      </c>
      <c r="DG84" s="652">
        <f t="shared" si="228"/>
        <v>-23732</v>
      </c>
      <c r="DH84" s="652">
        <f t="shared" si="229"/>
        <v>-1978</v>
      </c>
      <c r="DI84" s="652" t="str">
        <f t="shared" si="230"/>
        <v>Nam dưới 35</v>
      </c>
      <c r="DJ84" s="652"/>
      <c r="DK84" s="652"/>
      <c r="DL84" s="658" t="str">
        <f t="shared" si="231"/>
        <v>Đến 30</v>
      </c>
      <c r="DM84" s="665" t="str">
        <f t="shared" si="232"/>
        <v>TD</v>
      </c>
      <c r="DN84" s="651">
        <v>2008</v>
      </c>
      <c r="DO84" s="649"/>
      <c r="DP84" s="384"/>
      <c r="DQ84" s="651"/>
      <c r="DR84" s="651"/>
      <c r="DS84" s="202"/>
      <c r="DT84" s="650"/>
      <c r="DU84" s="675"/>
      <c r="DV84" s="676"/>
      <c r="DW84" s="201" t="s">
        <v>88</v>
      </c>
      <c r="DX84" s="391" t="s">
        <v>416</v>
      </c>
      <c r="DY84" s="201" t="s">
        <v>88</v>
      </c>
      <c r="DZ84" s="387" t="s">
        <v>342</v>
      </c>
      <c r="EA84" s="655" t="s">
        <v>360</v>
      </c>
      <c r="EB84" s="655" t="s">
        <v>342</v>
      </c>
      <c r="EC84" s="655" t="s">
        <v>360</v>
      </c>
      <c r="ED84" s="677" t="s">
        <v>378</v>
      </c>
      <c r="EE84" s="655">
        <f t="shared" si="233"/>
        <v>0</v>
      </c>
      <c r="EF84" s="678" t="str">
        <f t="shared" si="234"/>
        <v>- - -</v>
      </c>
      <c r="EG84" s="387" t="s">
        <v>342</v>
      </c>
      <c r="EH84" s="655" t="s">
        <v>360</v>
      </c>
      <c r="EI84" s="655" t="s">
        <v>342</v>
      </c>
      <c r="EJ84" s="655" t="s">
        <v>360</v>
      </c>
      <c r="EK84" s="677" t="s">
        <v>378</v>
      </c>
      <c r="EL84" s="649"/>
      <c r="EM84" s="664" t="str">
        <f t="shared" si="235"/>
        <v>- - -</v>
      </c>
      <c r="EN84" s="679" t="str">
        <f t="shared" si="236"/>
        <v>---</v>
      </c>
      <c r="EO84" s="676"/>
      <c r="EP84" s="80"/>
      <c r="EQ84" s="80"/>
      <c r="ER84" s="80"/>
      <c r="ES84" s="80"/>
      <c r="ET84" s="80"/>
      <c r="EU84" s="80"/>
      <c r="EV84" s="80"/>
      <c r="EW84" s="80"/>
      <c r="EX84" s="80"/>
      <c r="EY84" s="80"/>
      <c r="EZ84" s="80"/>
      <c r="FA84" s="80"/>
      <c r="FB84" s="80"/>
      <c r="FC84" s="80"/>
      <c r="FD84" s="80"/>
      <c r="FE84" s="80"/>
      <c r="FF84" s="80"/>
      <c r="FG84" s="80"/>
      <c r="FH84" s="80"/>
      <c r="FI84" s="80"/>
      <c r="FJ84" s="80"/>
      <c r="FK84" s="80"/>
      <c r="FL84" s="80"/>
      <c r="FM84" s="80"/>
      <c r="FN84" s="80"/>
      <c r="FO84" s="80"/>
      <c r="FP84" s="80"/>
      <c r="FQ84" s="80"/>
      <c r="FR84" s="80"/>
    </row>
    <row r="85" spans="1:174" s="322" customFormat="1" ht="11.25" customHeight="1" x14ac:dyDescent="0.2">
      <c r="A85" s="101">
        <v>122</v>
      </c>
      <c r="B85" s="517">
        <v>32</v>
      </c>
      <c r="C85" s="35"/>
      <c r="D85" s="35" t="s">
        <v>144</v>
      </c>
      <c r="E85" s="40" t="s">
        <v>53</v>
      </c>
      <c r="F85" s="35" t="s">
        <v>381</v>
      </c>
      <c r="G85" s="64" t="s">
        <v>280</v>
      </c>
      <c r="H85" s="620" t="s">
        <v>360</v>
      </c>
      <c r="I85" s="64" t="s">
        <v>346</v>
      </c>
      <c r="J85" s="620" t="s">
        <v>360</v>
      </c>
      <c r="K85" s="40" t="s">
        <v>338</v>
      </c>
      <c r="L85" s="193" t="s">
        <v>452</v>
      </c>
      <c r="M85" s="652" t="s">
        <v>457</v>
      </c>
      <c r="N85" s="199"/>
      <c r="O85" s="621" t="s">
        <v>104</v>
      </c>
      <c r="P85" s="40" t="s">
        <v>246</v>
      </c>
      <c r="Q85" s="371">
        <v>1</v>
      </c>
      <c r="R85" s="86"/>
      <c r="S85" s="263" t="s">
        <v>555</v>
      </c>
      <c r="T85" s="38" t="s">
        <v>263</v>
      </c>
      <c r="U85" s="39" t="s">
        <v>106</v>
      </c>
      <c r="V85" s="663" t="s">
        <v>424</v>
      </c>
      <c r="W85" s="370" t="s">
        <v>429</v>
      </c>
      <c r="X85" s="373" t="s">
        <v>427</v>
      </c>
      <c r="Y85" s="397" t="s">
        <v>429</v>
      </c>
      <c r="Z85" s="397" t="s">
        <v>427</v>
      </c>
      <c r="AA85" s="52" t="s">
        <v>410</v>
      </c>
      <c r="AB85" s="148">
        <v>1</v>
      </c>
      <c r="AC85" s="495" t="s">
        <v>360</v>
      </c>
      <c r="AD85" s="43">
        <v>6</v>
      </c>
      <c r="AE85" s="44">
        <v>6.2</v>
      </c>
      <c r="AF85" s="409"/>
      <c r="AG85" s="109"/>
      <c r="AH85" s="700" t="s">
        <v>342</v>
      </c>
      <c r="AI85" s="699" t="s">
        <v>360</v>
      </c>
      <c r="AJ85" s="695" t="s">
        <v>347</v>
      </c>
      <c r="AK85" s="699" t="s">
        <v>360</v>
      </c>
      <c r="AL85" s="494">
        <v>2016</v>
      </c>
      <c r="AM85" s="162"/>
      <c r="AN85" s="53"/>
      <c r="AO85" s="324">
        <v>2</v>
      </c>
      <c r="AP85" s="256" t="s">
        <v>360</v>
      </c>
      <c r="AQ85" s="87">
        <v>6</v>
      </c>
      <c r="AR85" s="47">
        <v>6.5600000000000005</v>
      </c>
      <c r="AS85" s="413"/>
      <c r="AT85" s="48" t="s">
        <v>342</v>
      </c>
      <c r="AU85" s="484" t="s">
        <v>360</v>
      </c>
      <c r="AV85" s="49" t="s">
        <v>347</v>
      </c>
      <c r="AW85" s="484" t="s">
        <v>360</v>
      </c>
      <c r="AX85" s="50">
        <v>2018</v>
      </c>
      <c r="AY85" s="91"/>
      <c r="AZ85" s="694" t="s">
        <v>591</v>
      </c>
      <c r="BA85" s="480"/>
      <c r="BB85" s="51">
        <v>3</v>
      </c>
      <c r="BC85" s="328">
        <v>30</v>
      </c>
      <c r="BD85" s="280">
        <v>6.2</v>
      </c>
      <c r="BE85" s="280">
        <v>0.36</v>
      </c>
      <c r="BF85" s="57" t="s">
        <v>411</v>
      </c>
      <c r="BG85" s="59">
        <v>18</v>
      </c>
      <c r="BH85" s="424" t="s">
        <v>333</v>
      </c>
      <c r="BI85" s="60" t="s">
        <v>342</v>
      </c>
      <c r="BJ85" s="1272" t="s">
        <v>360</v>
      </c>
      <c r="BK85" s="422" t="s">
        <v>349</v>
      </c>
      <c r="BL85" s="489" t="s">
        <v>360</v>
      </c>
      <c r="BM85" s="245">
        <v>2019</v>
      </c>
      <c r="BN85" s="162"/>
      <c r="BO85" s="62"/>
      <c r="BP85" s="59">
        <v>19</v>
      </c>
      <c r="BQ85" s="429" t="s">
        <v>333</v>
      </c>
      <c r="BR85" s="60" t="s">
        <v>342</v>
      </c>
      <c r="BS85" s="484" t="s">
        <v>360</v>
      </c>
      <c r="BT85" s="420" t="s">
        <v>349</v>
      </c>
      <c r="BU85" s="484" t="s">
        <v>360</v>
      </c>
      <c r="BV85" s="50">
        <v>2020</v>
      </c>
      <c r="BW85" s="61"/>
      <c r="BX85" s="161"/>
      <c r="BY85" s="329">
        <v>0</v>
      </c>
      <c r="BZ85" s="57" t="s">
        <v>216</v>
      </c>
      <c r="CA85" s="392" t="s">
        <v>574</v>
      </c>
      <c r="CB85" s="63" t="s">
        <v>362</v>
      </c>
      <c r="CC85" s="41" t="s">
        <v>269</v>
      </c>
      <c r="CD85" s="52">
        <v>39</v>
      </c>
      <c r="CE85" s="35" t="s">
        <v>304</v>
      </c>
      <c r="CF85" s="35">
        <v>2013</v>
      </c>
      <c r="CG85" s="379" t="s">
        <v>428</v>
      </c>
      <c r="CH85" s="35"/>
      <c r="CI85" s="135"/>
      <c r="CJ85" s="35" t="s">
        <v>216</v>
      </c>
      <c r="CK85" s="55" t="s">
        <v>231</v>
      </c>
      <c r="CL85" s="65">
        <v>3</v>
      </c>
      <c r="CM85" s="66">
        <v>2016</v>
      </c>
      <c r="CN85" s="65"/>
      <c r="CO85" s="84"/>
      <c r="CP85" s="55" t="s">
        <v>216</v>
      </c>
      <c r="CQ85" s="65"/>
      <c r="CR85" s="36"/>
      <c r="CS85" s="65"/>
      <c r="CT85" s="84"/>
      <c r="CU85" s="69" t="s">
        <v>116</v>
      </c>
      <c r="CV85" s="70" t="s">
        <v>57</v>
      </c>
      <c r="CW85" s="67">
        <v>9</v>
      </c>
      <c r="CX85" s="68">
        <v>2026</v>
      </c>
      <c r="CY85" s="67">
        <v>6</v>
      </c>
      <c r="CZ85" s="68">
        <v>2026</v>
      </c>
      <c r="DA85" s="67">
        <v>3</v>
      </c>
      <c r="DB85" s="68">
        <v>2026</v>
      </c>
      <c r="DC85" s="71" t="s">
        <v>216</v>
      </c>
      <c r="DD85" s="72" t="s">
        <v>207</v>
      </c>
      <c r="DE85" s="72"/>
      <c r="DF85" s="52">
        <v>660</v>
      </c>
      <c r="DG85" s="52">
        <v>568</v>
      </c>
      <c r="DH85" s="52">
        <v>43</v>
      </c>
      <c r="DI85" s="52" t="s">
        <v>406</v>
      </c>
      <c r="DJ85" s="52"/>
      <c r="DK85" s="52"/>
      <c r="DL85" s="57" t="s">
        <v>217</v>
      </c>
      <c r="DM85" s="65" t="s">
        <v>218</v>
      </c>
      <c r="DN85" s="36"/>
      <c r="DO85" s="35"/>
      <c r="DP85" s="73"/>
      <c r="DQ85" s="36"/>
      <c r="DR85" s="84"/>
      <c r="DS85" s="85"/>
      <c r="DT85" s="86"/>
      <c r="DU85" s="76"/>
      <c r="DV85" s="91"/>
      <c r="DW85" s="92"/>
      <c r="DX85" s="391" t="s">
        <v>129</v>
      </c>
      <c r="DY85" s="37"/>
      <c r="DZ85" s="48" t="s">
        <v>342</v>
      </c>
      <c r="EA85" s="49" t="s">
        <v>360</v>
      </c>
      <c r="EB85" s="49" t="s">
        <v>343</v>
      </c>
      <c r="EC85" s="49" t="s">
        <v>360</v>
      </c>
      <c r="ED85" s="77">
        <v>2013</v>
      </c>
      <c r="EE85" s="49">
        <v>0</v>
      </c>
      <c r="EF85" s="78" t="s">
        <v>216</v>
      </c>
      <c r="EG85" s="48" t="s">
        <v>342</v>
      </c>
      <c r="EH85" s="49" t="s">
        <v>360</v>
      </c>
      <c r="EI85" s="49" t="s">
        <v>343</v>
      </c>
      <c r="EJ85" s="49" t="s">
        <v>360</v>
      </c>
      <c r="EK85" s="77">
        <v>2013</v>
      </c>
      <c r="EL85" s="35">
        <v>3.66</v>
      </c>
      <c r="EM85" s="55" t="s">
        <v>216</v>
      </c>
      <c r="EN85" s="79" t="s">
        <v>116</v>
      </c>
      <c r="EO85" s="91"/>
      <c r="EP85" s="80"/>
      <c r="EQ85" s="80"/>
      <c r="ER85" s="80"/>
      <c r="ES85" s="80"/>
      <c r="ET85" s="80"/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  <c r="FF85" s="80"/>
      <c r="FG85" s="80"/>
      <c r="FH85" s="80"/>
      <c r="FI85" s="80"/>
      <c r="FJ85" s="80"/>
      <c r="FK85" s="80"/>
      <c r="FL85" s="80"/>
      <c r="FM85" s="80"/>
      <c r="FN85" s="80"/>
      <c r="FO85" s="80"/>
      <c r="FP85" s="80"/>
      <c r="FQ85" s="80"/>
      <c r="FR85" s="80"/>
    </row>
    <row r="86" spans="1:174" s="138" customFormat="1" ht="11.25" customHeight="1" x14ac:dyDescent="0.2">
      <c r="A86" s="101">
        <v>143</v>
      </c>
      <c r="B86" s="517">
        <v>33</v>
      </c>
      <c r="C86" s="35"/>
      <c r="D86" s="35" t="s">
        <v>144</v>
      </c>
      <c r="E86" s="40" t="s">
        <v>33</v>
      </c>
      <c r="F86" s="35" t="s">
        <v>381</v>
      </c>
      <c r="G86" s="64" t="s">
        <v>281</v>
      </c>
      <c r="H86" s="620" t="s">
        <v>360</v>
      </c>
      <c r="I86" s="64">
        <v>7</v>
      </c>
      <c r="J86" s="620" t="s">
        <v>360</v>
      </c>
      <c r="K86" s="40">
        <v>1978</v>
      </c>
      <c r="L86" s="193" t="s">
        <v>452</v>
      </c>
      <c r="M86" s="652" t="s">
        <v>457</v>
      </c>
      <c r="N86" s="199"/>
      <c r="O86" s="621" t="s">
        <v>104</v>
      </c>
      <c r="P86" s="40" t="s">
        <v>484</v>
      </c>
      <c r="Q86" s="371">
        <v>0.4</v>
      </c>
      <c r="R86" s="40" t="s">
        <v>267</v>
      </c>
      <c r="S86" s="263" t="s">
        <v>555</v>
      </c>
      <c r="T86" s="38" t="s">
        <v>105</v>
      </c>
      <c r="U86" s="39" t="s">
        <v>216</v>
      </c>
      <c r="V86" s="663" t="s">
        <v>424</v>
      </c>
      <c r="W86" s="370" t="s">
        <v>430</v>
      </c>
      <c r="X86" s="373" t="s">
        <v>426</v>
      </c>
      <c r="Y86" s="397" t="s">
        <v>430</v>
      </c>
      <c r="Z86" s="397" t="s">
        <v>426</v>
      </c>
      <c r="AA86" s="52" t="s">
        <v>410</v>
      </c>
      <c r="AB86" s="175">
        <v>6</v>
      </c>
      <c r="AC86" s="495" t="s">
        <v>360</v>
      </c>
      <c r="AD86" s="43">
        <v>9</v>
      </c>
      <c r="AE86" s="44">
        <v>3.99</v>
      </c>
      <c r="AF86" s="409"/>
      <c r="AG86" s="109"/>
      <c r="AH86" s="485"/>
      <c r="AI86" s="493" t="s">
        <v>360</v>
      </c>
      <c r="AJ86" s="109"/>
      <c r="AK86" s="493" t="s">
        <v>360</v>
      </c>
      <c r="AL86" s="494"/>
      <c r="AM86" s="162"/>
      <c r="AN86" s="53"/>
      <c r="AO86" s="324">
        <v>7</v>
      </c>
      <c r="AP86" s="256" t="s">
        <v>360</v>
      </c>
      <c r="AQ86" s="87">
        <v>9</v>
      </c>
      <c r="AR86" s="47">
        <v>4.32</v>
      </c>
      <c r="AS86" s="413"/>
      <c r="AT86" s="48" t="s">
        <v>342</v>
      </c>
      <c r="AU86" s="484" t="s">
        <v>360</v>
      </c>
      <c r="AV86" s="49" t="s">
        <v>377</v>
      </c>
      <c r="AW86" s="484" t="s">
        <v>360</v>
      </c>
      <c r="AX86" s="245">
        <v>2020</v>
      </c>
      <c r="AY86" s="132"/>
      <c r="AZ86" s="469" t="s">
        <v>605</v>
      </c>
      <c r="BA86" s="482"/>
      <c r="BB86" s="51">
        <v>3</v>
      </c>
      <c r="BC86" s="328">
        <v>5</v>
      </c>
      <c r="BD86" s="280">
        <v>2.34</v>
      </c>
      <c r="BE86" s="280">
        <v>0.33</v>
      </c>
      <c r="BF86" s="57" t="s">
        <v>411</v>
      </c>
      <c r="BG86" s="58">
        <v>9</v>
      </c>
      <c r="BH86" s="424" t="s">
        <v>333</v>
      </c>
      <c r="BI86" s="60" t="s">
        <v>342</v>
      </c>
      <c r="BJ86" s="1272" t="s">
        <v>360</v>
      </c>
      <c r="BK86" s="422" t="s">
        <v>347</v>
      </c>
      <c r="BL86" s="489" t="s">
        <v>360</v>
      </c>
      <c r="BM86" s="245">
        <v>2019</v>
      </c>
      <c r="BN86" s="162"/>
      <c r="BO86" s="62"/>
      <c r="BP86" s="59">
        <v>10</v>
      </c>
      <c r="BQ86" s="429" t="s">
        <v>333</v>
      </c>
      <c r="BR86" s="60" t="s">
        <v>342</v>
      </c>
      <c r="BS86" s="484" t="s">
        <v>360</v>
      </c>
      <c r="BT86" s="420" t="s">
        <v>349</v>
      </c>
      <c r="BU86" s="484" t="s">
        <v>360</v>
      </c>
      <c r="BV86" s="50">
        <v>2020</v>
      </c>
      <c r="BW86" s="61" t="s">
        <v>606</v>
      </c>
      <c r="BX86" s="161"/>
      <c r="BY86" s="329">
        <v>0</v>
      </c>
      <c r="BZ86" s="57" t="s">
        <v>216</v>
      </c>
      <c r="CA86" s="392" t="s">
        <v>574</v>
      </c>
      <c r="CB86" s="63" t="s">
        <v>362</v>
      </c>
      <c r="CC86" s="41" t="s">
        <v>269</v>
      </c>
      <c r="CD86" s="52">
        <v>64</v>
      </c>
      <c r="CE86" s="35" t="s">
        <v>116</v>
      </c>
      <c r="CF86" s="35"/>
      <c r="CG86" s="379"/>
      <c r="CH86" s="35"/>
      <c r="CI86" s="135"/>
      <c r="CJ86" s="35" t="s">
        <v>216</v>
      </c>
      <c r="CK86" s="55" t="s">
        <v>216</v>
      </c>
      <c r="CL86" s="65"/>
      <c r="CM86" s="66"/>
      <c r="CN86" s="65"/>
      <c r="CO86" s="84"/>
      <c r="CP86" s="55" t="s">
        <v>216</v>
      </c>
      <c r="CQ86" s="65"/>
      <c r="CR86" s="66"/>
      <c r="CS86" s="65"/>
      <c r="CT86" s="84"/>
      <c r="CU86" s="69" t="s">
        <v>116</v>
      </c>
      <c r="CV86" s="70" t="s">
        <v>57</v>
      </c>
      <c r="CW86" s="67">
        <v>8</v>
      </c>
      <c r="CX86" s="68">
        <v>2033</v>
      </c>
      <c r="CY86" s="67">
        <v>5</v>
      </c>
      <c r="CZ86" s="68">
        <v>2033</v>
      </c>
      <c r="DA86" s="67">
        <v>2</v>
      </c>
      <c r="DB86" s="68">
        <v>2033</v>
      </c>
      <c r="DC86" s="71" t="s">
        <v>216</v>
      </c>
      <c r="DD86" s="72" t="s">
        <v>207</v>
      </c>
      <c r="DE86" s="72"/>
      <c r="DF86" s="52">
        <v>660</v>
      </c>
      <c r="DG86" s="52">
        <v>485</v>
      </c>
      <c r="DH86" s="52">
        <v>36</v>
      </c>
      <c r="DI86" s="52" t="s">
        <v>404</v>
      </c>
      <c r="DJ86" s="52"/>
      <c r="DK86" s="52"/>
      <c r="DL86" s="57" t="s">
        <v>217</v>
      </c>
      <c r="DM86" s="65" t="s">
        <v>209</v>
      </c>
      <c r="DN86" s="36">
        <v>2008</v>
      </c>
      <c r="DO86" s="35"/>
      <c r="DP86" s="73"/>
      <c r="DQ86" s="36"/>
      <c r="DR86" s="84"/>
      <c r="DS86" s="85"/>
      <c r="DT86" s="86"/>
      <c r="DU86" s="76"/>
      <c r="DV86" s="91"/>
      <c r="DW86" s="37" t="s">
        <v>267</v>
      </c>
      <c r="DX86" s="391" t="s">
        <v>120</v>
      </c>
      <c r="DY86" s="37" t="s">
        <v>267</v>
      </c>
      <c r="DZ86" s="48" t="s">
        <v>342</v>
      </c>
      <c r="EA86" s="49" t="s">
        <v>360</v>
      </c>
      <c r="EB86" s="179" t="s">
        <v>347</v>
      </c>
      <c r="EC86" s="49" t="s">
        <v>360</v>
      </c>
      <c r="ED86" s="77" t="s">
        <v>364</v>
      </c>
      <c r="EE86" s="49">
        <v>0</v>
      </c>
      <c r="EF86" s="78" t="s">
        <v>216</v>
      </c>
      <c r="EG86" s="48" t="s">
        <v>342</v>
      </c>
      <c r="EH86" s="49" t="s">
        <v>360</v>
      </c>
      <c r="EI86" s="49" t="s">
        <v>347</v>
      </c>
      <c r="EJ86" s="49" t="s">
        <v>360</v>
      </c>
      <c r="EK86" s="77" t="s">
        <v>364</v>
      </c>
      <c r="EL86" s="35"/>
      <c r="EM86" s="55" t="s">
        <v>216</v>
      </c>
      <c r="EN86" s="79" t="s">
        <v>116</v>
      </c>
      <c r="EO86" s="91"/>
      <c r="EP86" s="98"/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/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/>
      <c r="FM86" s="98"/>
      <c r="FN86" s="98"/>
      <c r="FO86" s="98"/>
      <c r="FP86" s="98"/>
      <c r="FQ86" s="98"/>
      <c r="FR86" s="98"/>
    </row>
    <row r="87" spans="1:174" s="33" customFormat="1" ht="14.25" customHeight="1" x14ac:dyDescent="0.2">
      <c r="A87" s="101">
        <v>189</v>
      </c>
      <c r="B87" s="517">
        <v>34</v>
      </c>
      <c r="C87" s="35"/>
      <c r="D87" s="35" t="s">
        <v>143</v>
      </c>
      <c r="E87" s="40" t="s">
        <v>400</v>
      </c>
      <c r="F87" s="35" t="s">
        <v>379</v>
      </c>
      <c r="G87" s="64" t="s">
        <v>282</v>
      </c>
      <c r="H87" s="620" t="s">
        <v>360</v>
      </c>
      <c r="I87" s="64" t="s">
        <v>343</v>
      </c>
      <c r="J87" s="620" t="s">
        <v>360</v>
      </c>
      <c r="K87" s="40" t="s">
        <v>329</v>
      </c>
      <c r="L87" s="193" t="s">
        <v>452</v>
      </c>
      <c r="M87" s="652" t="s">
        <v>457</v>
      </c>
      <c r="N87" s="199"/>
      <c r="O87" s="621" t="s">
        <v>104</v>
      </c>
      <c r="P87" s="40" t="s">
        <v>453</v>
      </c>
      <c r="Q87" s="371">
        <v>0.8</v>
      </c>
      <c r="R87" s="159"/>
      <c r="S87" s="550" t="s">
        <v>553</v>
      </c>
      <c r="T87" s="532" t="s">
        <v>263</v>
      </c>
      <c r="U87" s="533" t="s">
        <v>106</v>
      </c>
      <c r="V87" s="381" t="s">
        <v>424</v>
      </c>
      <c r="W87" s="552" t="s">
        <v>429</v>
      </c>
      <c r="X87" s="379" t="s">
        <v>427</v>
      </c>
      <c r="Y87" s="553" t="s">
        <v>429</v>
      </c>
      <c r="Z87" s="553" t="s">
        <v>427</v>
      </c>
      <c r="AA87" s="185" t="s">
        <v>410</v>
      </c>
      <c r="AB87" s="178">
        <v>5</v>
      </c>
      <c r="AC87" s="240" t="s">
        <v>360</v>
      </c>
      <c r="AD87" s="240">
        <v>6</v>
      </c>
      <c r="AE87" s="554">
        <v>7.6400000000000006</v>
      </c>
      <c r="AF87" s="554"/>
      <c r="AG87" s="554"/>
      <c r="AH87" s="554"/>
      <c r="AI87" s="531" t="s">
        <v>360</v>
      </c>
      <c r="AJ87" s="554"/>
      <c r="AK87" s="531" t="s">
        <v>360</v>
      </c>
      <c r="AL87" s="556"/>
      <c r="AM87" s="241"/>
      <c r="AN87" s="239"/>
      <c r="AO87" s="541">
        <v>6</v>
      </c>
      <c r="AP87" s="534" t="s">
        <v>360</v>
      </c>
      <c r="AQ87" s="560">
        <v>6</v>
      </c>
      <c r="AR87" s="534">
        <v>8</v>
      </c>
      <c r="AS87" s="534"/>
      <c r="AT87" s="184" t="s">
        <v>342</v>
      </c>
      <c r="AU87" s="492" t="s">
        <v>360</v>
      </c>
      <c r="AV87" s="179" t="s">
        <v>347</v>
      </c>
      <c r="AW87" s="492" t="s">
        <v>360</v>
      </c>
      <c r="AX87" s="159">
        <v>2018</v>
      </c>
      <c r="AY87" s="159"/>
      <c r="AZ87" s="475"/>
      <c r="BA87" s="567"/>
      <c r="BB87" s="568">
        <v>3</v>
      </c>
      <c r="BC87" s="569">
        <v>30</v>
      </c>
      <c r="BD87" s="570">
        <v>6.2</v>
      </c>
      <c r="BE87" s="570">
        <v>0.36</v>
      </c>
      <c r="BF87" s="571" t="s">
        <v>411</v>
      </c>
      <c r="BG87" s="535">
        <v>40</v>
      </c>
      <c r="BH87" s="536" t="s">
        <v>333</v>
      </c>
      <c r="BI87" s="542" t="s">
        <v>342</v>
      </c>
      <c r="BJ87" s="1259" t="s">
        <v>360</v>
      </c>
      <c r="BK87" s="872">
        <v>9</v>
      </c>
      <c r="BL87" s="563" t="s">
        <v>360</v>
      </c>
      <c r="BM87" s="696">
        <v>2019</v>
      </c>
      <c r="BN87" s="241"/>
      <c r="BO87" s="537"/>
      <c r="BP87" s="535">
        <v>41</v>
      </c>
      <c r="BQ87" s="239" t="s">
        <v>333</v>
      </c>
      <c r="BR87" s="542" t="s">
        <v>342</v>
      </c>
      <c r="BS87" s="492" t="s">
        <v>360</v>
      </c>
      <c r="BT87" s="177">
        <v>9</v>
      </c>
      <c r="BU87" s="492" t="s">
        <v>360</v>
      </c>
      <c r="BV87" s="50">
        <v>2020</v>
      </c>
      <c r="BW87" s="180"/>
      <c r="BX87" s="583"/>
      <c r="BY87" s="585">
        <v>0</v>
      </c>
      <c r="BZ87" s="571" t="s">
        <v>216</v>
      </c>
      <c r="CA87" s="588" t="s">
        <v>582</v>
      </c>
      <c r="CB87" s="519" t="s">
        <v>362</v>
      </c>
      <c r="CC87" s="185" t="s">
        <v>269</v>
      </c>
      <c r="CD87" s="185">
        <v>39</v>
      </c>
      <c r="CE87" s="182" t="s">
        <v>304</v>
      </c>
      <c r="CF87" s="182">
        <v>2008</v>
      </c>
      <c r="CG87" s="379" t="s">
        <v>428</v>
      </c>
      <c r="CH87" s="182"/>
      <c r="CI87" s="873"/>
      <c r="CJ87" s="182" t="s">
        <v>216</v>
      </c>
      <c r="CK87" s="183" t="s">
        <v>231</v>
      </c>
      <c r="CL87" s="183">
        <v>3</v>
      </c>
      <c r="CM87" s="182">
        <v>2016</v>
      </c>
      <c r="CN87" s="183"/>
      <c r="CO87" s="183"/>
      <c r="CP87" s="183" t="s">
        <v>216</v>
      </c>
      <c r="CQ87" s="183"/>
      <c r="CR87" s="182"/>
      <c r="CS87" s="183"/>
      <c r="CT87" s="183"/>
      <c r="CU87" s="539" t="s">
        <v>116</v>
      </c>
      <c r="CV87" s="596" t="s">
        <v>57</v>
      </c>
      <c r="CW87" s="242">
        <v>3</v>
      </c>
      <c r="CX87" s="242">
        <v>2021</v>
      </c>
      <c r="CY87" s="242">
        <v>12</v>
      </c>
      <c r="CZ87" s="242">
        <v>2020</v>
      </c>
      <c r="DA87" s="242">
        <v>9</v>
      </c>
      <c r="DB87" s="242">
        <v>2020</v>
      </c>
      <c r="DC87" s="540" t="s">
        <v>216</v>
      </c>
      <c r="DD87" s="605" t="s">
        <v>573</v>
      </c>
      <c r="DE87" s="607">
        <v>7</v>
      </c>
      <c r="DF87" s="185">
        <v>804</v>
      </c>
      <c r="DG87" s="185">
        <v>778</v>
      </c>
      <c r="DH87" s="185">
        <v>60</v>
      </c>
      <c r="DI87" s="185" t="s">
        <v>402</v>
      </c>
      <c r="DJ87" s="185"/>
      <c r="DK87" s="185"/>
      <c r="DL87" s="571" t="s">
        <v>219</v>
      </c>
      <c r="DM87" s="183" t="s">
        <v>218</v>
      </c>
      <c r="DN87" s="182"/>
      <c r="DO87" s="182"/>
      <c r="DP87" s="182"/>
      <c r="DQ87" s="182"/>
      <c r="DR87" s="183" t="s">
        <v>325</v>
      </c>
      <c r="DS87" s="183">
        <v>6</v>
      </c>
      <c r="DT87" s="240" t="s">
        <v>365</v>
      </c>
      <c r="DU87" s="614"/>
      <c r="DV87" s="159"/>
      <c r="DW87" s="159"/>
      <c r="DX87" s="550" t="s">
        <v>138</v>
      </c>
      <c r="DY87" s="159"/>
      <c r="DZ87" s="184" t="s">
        <v>342</v>
      </c>
      <c r="EA87" s="179" t="s">
        <v>360</v>
      </c>
      <c r="EB87" s="179" t="s">
        <v>347</v>
      </c>
      <c r="EC87" s="179" t="s">
        <v>360</v>
      </c>
      <c r="ED87" s="243">
        <v>2013</v>
      </c>
      <c r="EE87" s="179">
        <v>0</v>
      </c>
      <c r="EF87" s="182" t="s">
        <v>216</v>
      </c>
      <c r="EG87" s="184" t="s">
        <v>342</v>
      </c>
      <c r="EH87" s="179" t="s">
        <v>360</v>
      </c>
      <c r="EI87" s="179" t="s">
        <v>347</v>
      </c>
      <c r="EJ87" s="179" t="s">
        <v>360</v>
      </c>
      <c r="EK87" s="243">
        <v>2013</v>
      </c>
      <c r="EL87" s="182"/>
      <c r="EM87" s="183" t="s">
        <v>216</v>
      </c>
      <c r="EN87" s="540" t="s">
        <v>116</v>
      </c>
      <c r="EO87" s="159"/>
      <c r="EP87" s="242"/>
      <c r="EQ87" s="242"/>
      <c r="ER87" s="242"/>
      <c r="ES87" s="242"/>
      <c r="ET87" s="242"/>
      <c r="EU87" s="242"/>
      <c r="EV87" s="242"/>
      <c r="EW87" s="242"/>
      <c r="EX87" s="242"/>
      <c r="EY87" s="242"/>
      <c r="EZ87" s="242"/>
      <c r="FA87" s="242"/>
      <c r="FB87" s="242"/>
      <c r="FC87" s="242"/>
      <c r="FD87" s="242"/>
      <c r="FE87" s="242"/>
      <c r="FF87" s="242"/>
      <c r="FG87" s="242"/>
      <c r="FH87" s="242"/>
      <c r="FI87" s="242"/>
      <c r="FJ87" s="242"/>
      <c r="FK87" s="242"/>
      <c r="FL87" s="242"/>
      <c r="FM87" s="242"/>
      <c r="FN87" s="242"/>
      <c r="FO87" s="242"/>
      <c r="FP87" s="242"/>
      <c r="FQ87" s="242"/>
      <c r="FR87" s="242"/>
    </row>
    <row r="88" spans="1:174" s="156" customFormat="1" ht="11.25" customHeight="1" x14ac:dyDescent="0.2">
      <c r="A88" s="101">
        <v>210</v>
      </c>
      <c r="B88" s="517">
        <v>35</v>
      </c>
      <c r="C88" s="35" t="s">
        <v>388</v>
      </c>
      <c r="D88" s="35" t="s">
        <v>143</v>
      </c>
      <c r="E88" s="40" t="s">
        <v>471</v>
      </c>
      <c r="F88" s="35" t="s">
        <v>379</v>
      </c>
      <c r="G88" s="64" t="s">
        <v>401</v>
      </c>
      <c r="H88" s="620" t="s">
        <v>360</v>
      </c>
      <c r="I88" s="64" t="s">
        <v>345</v>
      </c>
      <c r="J88" s="620" t="s">
        <v>360</v>
      </c>
      <c r="K88" s="40">
        <v>1969</v>
      </c>
      <c r="L88" s="193" t="s">
        <v>452</v>
      </c>
      <c r="M88" s="652" t="s">
        <v>457</v>
      </c>
      <c r="N88" s="199"/>
      <c r="O88" s="621" t="s">
        <v>104</v>
      </c>
      <c r="P88" s="40" t="s">
        <v>256</v>
      </c>
      <c r="Q88" s="371">
        <v>0.4</v>
      </c>
      <c r="R88" s="40" t="s">
        <v>141</v>
      </c>
      <c r="S88" s="263" t="s">
        <v>553</v>
      </c>
      <c r="T88" s="38" t="s">
        <v>302</v>
      </c>
      <c r="U88" s="39" t="s">
        <v>303</v>
      </c>
      <c r="V88" s="663" t="s">
        <v>424</v>
      </c>
      <c r="W88" s="370" t="s">
        <v>431</v>
      </c>
      <c r="X88" s="373" t="s">
        <v>428</v>
      </c>
      <c r="Y88" s="397" t="s">
        <v>431</v>
      </c>
      <c r="Z88" s="397" t="s">
        <v>428</v>
      </c>
      <c r="AA88" s="52" t="s">
        <v>410</v>
      </c>
      <c r="AB88" s="175">
        <v>3</v>
      </c>
      <c r="AC88" s="495" t="s">
        <v>360</v>
      </c>
      <c r="AD88" s="43">
        <v>8</v>
      </c>
      <c r="AE88" s="44">
        <v>5.08</v>
      </c>
      <c r="AF88" s="409"/>
      <c r="AG88" s="109"/>
      <c r="AH88" s="485"/>
      <c r="AI88" s="531" t="s">
        <v>360</v>
      </c>
      <c r="AJ88" s="109"/>
      <c r="AK88" s="493" t="s">
        <v>360</v>
      </c>
      <c r="AL88" s="494"/>
      <c r="AM88" s="162"/>
      <c r="AN88" s="53"/>
      <c r="AO88" s="324">
        <v>4</v>
      </c>
      <c r="AP88" s="256" t="s">
        <v>360</v>
      </c>
      <c r="AQ88" s="87">
        <v>8</v>
      </c>
      <c r="AR88" s="47">
        <v>5.42</v>
      </c>
      <c r="AS88" s="413"/>
      <c r="AT88" s="48" t="s">
        <v>342</v>
      </c>
      <c r="AU88" s="492" t="s">
        <v>360</v>
      </c>
      <c r="AV88" s="49" t="s">
        <v>342</v>
      </c>
      <c r="AW88" s="484" t="s">
        <v>360</v>
      </c>
      <c r="AX88" s="159">
        <v>2018</v>
      </c>
      <c r="AY88" s="91"/>
      <c r="AZ88" s="266"/>
      <c r="BA88" s="480">
        <v>1.18</v>
      </c>
      <c r="BB88" s="51">
        <v>3</v>
      </c>
      <c r="BC88" s="328">
        <v>32</v>
      </c>
      <c r="BD88" s="280">
        <v>4.4000000000000004</v>
      </c>
      <c r="BE88" s="280">
        <v>0.34</v>
      </c>
      <c r="BF88" s="57" t="s">
        <v>411</v>
      </c>
      <c r="BG88" s="58">
        <v>27</v>
      </c>
      <c r="BH88" s="424" t="s">
        <v>333</v>
      </c>
      <c r="BI88" s="60" t="s">
        <v>342</v>
      </c>
      <c r="BJ88" s="1272" t="s">
        <v>360</v>
      </c>
      <c r="BK88" s="422" t="s">
        <v>349</v>
      </c>
      <c r="BL88" s="489" t="s">
        <v>360</v>
      </c>
      <c r="BM88" s="245">
        <v>2019</v>
      </c>
      <c r="BN88" s="162"/>
      <c r="BO88" s="62"/>
      <c r="BP88" s="59">
        <v>28</v>
      </c>
      <c r="BQ88" s="429" t="s">
        <v>333</v>
      </c>
      <c r="BR88" s="60" t="s">
        <v>342</v>
      </c>
      <c r="BS88" s="484" t="s">
        <v>360</v>
      </c>
      <c r="BT88" s="420" t="s">
        <v>349</v>
      </c>
      <c r="BU88" s="484" t="s">
        <v>360</v>
      </c>
      <c r="BV88" s="50">
        <v>2020</v>
      </c>
      <c r="BW88" s="61"/>
      <c r="BX88" s="161"/>
      <c r="BY88" s="329">
        <v>0</v>
      </c>
      <c r="BZ88" s="57" t="s">
        <v>216</v>
      </c>
      <c r="CA88" s="392" t="s">
        <v>582</v>
      </c>
      <c r="CB88" s="63" t="s">
        <v>362</v>
      </c>
      <c r="CC88" s="41" t="s">
        <v>269</v>
      </c>
      <c r="CD88" s="52">
        <v>37</v>
      </c>
      <c r="CE88" s="35" t="s">
        <v>116</v>
      </c>
      <c r="CF88" s="35"/>
      <c r="CG88" s="379"/>
      <c r="CH88" s="35"/>
      <c r="CI88" s="135"/>
      <c r="CJ88" s="35" t="s">
        <v>216</v>
      </c>
      <c r="CK88" s="55" t="s">
        <v>216</v>
      </c>
      <c r="CL88" s="65"/>
      <c r="CM88" s="66"/>
      <c r="CN88" s="65"/>
      <c r="CO88" s="84"/>
      <c r="CP88" s="55" t="s">
        <v>216</v>
      </c>
      <c r="CQ88" s="65"/>
      <c r="CR88" s="66"/>
      <c r="CS88" s="65"/>
      <c r="CT88" s="84"/>
      <c r="CU88" s="69" t="s">
        <v>116</v>
      </c>
      <c r="CV88" s="70" t="s">
        <v>57</v>
      </c>
      <c r="CW88" s="67">
        <v>7</v>
      </c>
      <c r="CX88" s="68">
        <v>2029</v>
      </c>
      <c r="CY88" s="67">
        <v>4</v>
      </c>
      <c r="CZ88" s="68">
        <v>2029</v>
      </c>
      <c r="DA88" s="67">
        <v>1</v>
      </c>
      <c r="DB88" s="68">
        <v>2029</v>
      </c>
      <c r="DC88" s="71" t="s">
        <v>216</v>
      </c>
      <c r="DD88" s="72" t="s">
        <v>207</v>
      </c>
      <c r="DE88" s="72"/>
      <c r="DF88" s="52">
        <v>720</v>
      </c>
      <c r="DG88" s="52">
        <v>594</v>
      </c>
      <c r="DH88" s="52">
        <v>45</v>
      </c>
      <c r="DI88" s="52" t="s">
        <v>403</v>
      </c>
      <c r="DJ88" s="52"/>
      <c r="DK88" s="52"/>
      <c r="DL88" s="57" t="s">
        <v>217</v>
      </c>
      <c r="DM88" s="65" t="s">
        <v>209</v>
      </c>
      <c r="DN88" s="36">
        <v>2009</v>
      </c>
      <c r="DO88" s="35"/>
      <c r="DP88" s="73"/>
      <c r="DQ88" s="36"/>
      <c r="DR88" s="84"/>
      <c r="DS88" s="85"/>
      <c r="DT88" s="86"/>
      <c r="DU88" s="76"/>
      <c r="DV88" s="91"/>
      <c r="DW88" s="37" t="s">
        <v>141</v>
      </c>
      <c r="DX88" s="391" t="s">
        <v>121</v>
      </c>
      <c r="DY88" s="37"/>
      <c r="DZ88" s="48" t="s">
        <v>342</v>
      </c>
      <c r="EA88" s="49" t="s">
        <v>360</v>
      </c>
      <c r="EB88" s="179" t="s">
        <v>348</v>
      </c>
      <c r="EC88" s="49" t="s">
        <v>360</v>
      </c>
      <c r="ED88" s="77">
        <v>2009</v>
      </c>
      <c r="EE88" s="49">
        <v>0</v>
      </c>
      <c r="EF88" s="78" t="s">
        <v>216</v>
      </c>
      <c r="EG88" s="48" t="s">
        <v>342</v>
      </c>
      <c r="EH88" s="49" t="s">
        <v>360</v>
      </c>
      <c r="EI88" s="179" t="s">
        <v>348</v>
      </c>
      <c r="EJ88" s="49" t="s">
        <v>360</v>
      </c>
      <c r="EK88" s="77">
        <v>2009</v>
      </c>
      <c r="EL88" s="35"/>
      <c r="EM88" s="55" t="s">
        <v>216</v>
      </c>
      <c r="EN88" s="79" t="s">
        <v>116</v>
      </c>
      <c r="EO88" s="91"/>
      <c r="EP88" s="80"/>
      <c r="EQ88" s="80"/>
      <c r="ER88" s="80"/>
      <c r="ES88" s="80"/>
      <c r="ET88" s="80"/>
      <c r="EU88" s="80"/>
      <c r="EV88" s="80"/>
      <c r="EW88" s="80"/>
      <c r="EX88" s="80"/>
      <c r="EY88" s="80"/>
      <c r="EZ88" s="80"/>
      <c r="FA88" s="80"/>
      <c r="FB88" s="80"/>
      <c r="FC88" s="80"/>
      <c r="FD88" s="80"/>
      <c r="FE88" s="80"/>
      <c r="FF88" s="80"/>
      <c r="FG88" s="80"/>
      <c r="FH88" s="80"/>
      <c r="FI88" s="80"/>
      <c r="FJ88" s="80"/>
      <c r="FK88" s="80"/>
      <c r="FL88" s="80"/>
      <c r="FM88" s="80"/>
      <c r="FN88" s="80"/>
      <c r="FO88" s="80"/>
      <c r="FP88" s="80"/>
      <c r="FQ88" s="80"/>
      <c r="FR88" s="80"/>
    </row>
    <row r="89" spans="1:174" s="80" customFormat="1" ht="11.25" customHeight="1" x14ac:dyDescent="0.2">
      <c r="A89" s="101">
        <v>215</v>
      </c>
      <c r="B89" s="517">
        <v>36</v>
      </c>
      <c r="C89" s="35"/>
      <c r="D89" s="35" t="s">
        <v>144</v>
      </c>
      <c r="E89" s="40" t="s">
        <v>39</v>
      </c>
      <c r="F89" s="35" t="s">
        <v>381</v>
      </c>
      <c r="G89" s="64" t="s">
        <v>328</v>
      </c>
      <c r="H89" s="620" t="s">
        <v>360</v>
      </c>
      <c r="I89" s="64">
        <v>3</v>
      </c>
      <c r="J89" s="620" t="s">
        <v>360</v>
      </c>
      <c r="K89" s="40">
        <v>1981</v>
      </c>
      <c r="L89" s="193" t="s">
        <v>452</v>
      </c>
      <c r="M89" s="652" t="s">
        <v>457</v>
      </c>
      <c r="N89" s="199"/>
      <c r="O89" s="621" t="e">
        <v>#N/A</v>
      </c>
      <c r="P89" s="40"/>
      <c r="Q89" s="371" t="e">
        <v>#N/A</v>
      </c>
      <c r="R89" s="40" t="s">
        <v>466</v>
      </c>
      <c r="S89" s="263" t="s">
        <v>553</v>
      </c>
      <c r="T89" s="38" t="s">
        <v>105</v>
      </c>
      <c r="U89" s="39" t="s">
        <v>216</v>
      </c>
      <c r="V89" s="663" t="s">
        <v>424</v>
      </c>
      <c r="W89" s="370" t="s">
        <v>430</v>
      </c>
      <c r="X89" s="373" t="s">
        <v>426</v>
      </c>
      <c r="Y89" s="397" t="s">
        <v>430</v>
      </c>
      <c r="Z89" s="397" t="s">
        <v>426</v>
      </c>
      <c r="AA89" s="52" t="s">
        <v>410</v>
      </c>
      <c r="AB89" s="175">
        <v>5</v>
      </c>
      <c r="AC89" s="495" t="s">
        <v>360</v>
      </c>
      <c r="AD89" s="43">
        <v>9</v>
      </c>
      <c r="AE89" s="44">
        <v>3.66</v>
      </c>
      <c r="AF89" s="409"/>
      <c r="AG89" s="109"/>
      <c r="AH89" s="485" t="s">
        <v>342</v>
      </c>
      <c r="AI89" s="493" t="s">
        <v>360</v>
      </c>
      <c r="AJ89" s="109" t="s">
        <v>344</v>
      </c>
      <c r="AK89" s="493" t="s">
        <v>360</v>
      </c>
      <c r="AL89" s="494">
        <v>2015</v>
      </c>
      <c r="AM89" s="162"/>
      <c r="AN89" s="53"/>
      <c r="AO89" s="324">
        <v>6</v>
      </c>
      <c r="AP89" s="256" t="s">
        <v>360</v>
      </c>
      <c r="AQ89" s="87">
        <v>9</v>
      </c>
      <c r="AR89" s="47">
        <v>3.99</v>
      </c>
      <c r="AS89" s="413"/>
      <c r="AT89" s="48" t="s">
        <v>342</v>
      </c>
      <c r="AU89" s="484" t="s">
        <v>360</v>
      </c>
      <c r="AV89" s="49" t="s">
        <v>344</v>
      </c>
      <c r="AW89" s="484" t="s">
        <v>360</v>
      </c>
      <c r="AX89" s="159">
        <v>2018</v>
      </c>
      <c r="AY89" s="91"/>
      <c r="AZ89" s="469" t="s">
        <v>237</v>
      </c>
      <c r="BA89" s="480">
        <v>5.18</v>
      </c>
      <c r="BB89" s="51">
        <v>3</v>
      </c>
      <c r="BC89" s="328">
        <v>28</v>
      </c>
      <c r="BD89" s="280">
        <v>2.34</v>
      </c>
      <c r="BE89" s="280">
        <v>0.33</v>
      </c>
      <c r="BF89" s="57" t="s">
        <v>411</v>
      </c>
      <c r="BG89" s="58">
        <v>10</v>
      </c>
      <c r="BH89" s="424" t="s">
        <v>333</v>
      </c>
      <c r="BI89" s="60" t="s">
        <v>342</v>
      </c>
      <c r="BJ89" s="1272" t="s">
        <v>360</v>
      </c>
      <c r="BK89" s="422" t="s">
        <v>349</v>
      </c>
      <c r="BL89" s="489" t="s">
        <v>360</v>
      </c>
      <c r="BM89" s="245">
        <v>2019</v>
      </c>
      <c r="BN89" s="162"/>
      <c r="BO89" s="62"/>
      <c r="BP89" s="59">
        <v>11</v>
      </c>
      <c r="BQ89" s="429" t="s">
        <v>333</v>
      </c>
      <c r="BR89" s="60" t="s">
        <v>342</v>
      </c>
      <c r="BS89" s="484"/>
      <c r="BT89" s="420" t="s">
        <v>349</v>
      </c>
      <c r="BU89" s="484"/>
      <c r="BV89" s="50">
        <v>2020</v>
      </c>
      <c r="BW89" s="61"/>
      <c r="BX89" s="161"/>
      <c r="BY89" s="329">
        <v>0</v>
      </c>
      <c r="BZ89" s="57" t="s">
        <v>216</v>
      </c>
      <c r="CA89" s="392" t="s">
        <v>582</v>
      </c>
      <c r="CB89" s="63" t="s">
        <v>362</v>
      </c>
      <c r="CC89" s="41" t="s">
        <v>269</v>
      </c>
      <c r="CD89" s="52">
        <v>41</v>
      </c>
      <c r="CE89" s="35" t="s">
        <v>304</v>
      </c>
      <c r="CF89" s="35">
        <v>2012</v>
      </c>
      <c r="CG89" s="379" t="s">
        <v>169</v>
      </c>
      <c r="CH89" s="35"/>
      <c r="CI89" s="135"/>
      <c r="CJ89" s="35" t="s">
        <v>216</v>
      </c>
      <c r="CK89" s="55" t="s">
        <v>216</v>
      </c>
      <c r="CL89" s="65"/>
      <c r="CM89" s="66"/>
      <c r="CN89" s="65"/>
      <c r="CO89" s="84"/>
      <c r="CP89" s="55" t="s">
        <v>268</v>
      </c>
      <c r="CQ89" s="65">
        <v>6</v>
      </c>
      <c r="CR89" s="66">
        <v>2013</v>
      </c>
      <c r="CS89" s="65"/>
      <c r="CT89" s="84"/>
      <c r="CU89" s="69" t="s">
        <v>116</v>
      </c>
      <c r="CV89" s="70" t="s">
        <v>57</v>
      </c>
      <c r="CW89" s="67">
        <v>4</v>
      </c>
      <c r="CX89" s="68">
        <v>2036</v>
      </c>
      <c r="CY89" s="67">
        <v>1</v>
      </c>
      <c r="CZ89" s="68">
        <v>2036</v>
      </c>
      <c r="DA89" s="67">
        <v>10</v>
      </c>
      <c r="DB89" s="68">
        <v>2035</v>
      </c>
      <c r="DC89" s="71" t="s">
        <v>216</v>
      </c>
      <c r="DD89" s="72" t="s">
        <v>207</v>
      </c>
      <c r="DE89" s="72"/>
      <c r="DF89" s="52">
        <v>660</v>
      </c>
      <c r="DG89" s="52">
        <v>453</v>
      </c>
      <c r="DH89" s="52">
        <v>33</v>
      </c>
      <c r="DI89" s="52" t="s">
        <v>404</v>
      </c>
      <c r="DJ89" s="52"/>
      <c r="DK89" s="52"/>
      <c r="DL89" s="57" t="s">
        <v>217</v>
      </c>
      <c r="DM89" s="65" t="s">
        <v>218</v>
      </c>
      <c r="DN89" s="36"/>
      <c r="DO89" s="35" t="s">
        <v>268</v>
      </c>
      <c r="DP89" s="73">
        <v>6</v>
      </c>
      <c r="DQ89" s="36">
        <v>2013</v>
      </c>
      <c r="DR89" s="84"/>
      <c r="DS89" s="85"/>
      <c r="DT89" s="86"/>
      <c r="DU89" s="76"/>
      <c r="DV89" s="91"/>
      <c r="DW89" s="37" t="s">
        <v>466</v>
      </c>
      <c r="DX89" s="391" t="s">
        <v>138</v>
      </c>
      <c r="DY89" s="37" t="s">
        <v>36</v>
      </c>
      <c r="DZ89" s="48" t="s">
        <v>342</v>
      </c>
      <c r="EA89" s="49" t="s">
        <v>360</v>
      </c>
      <c r="EB89" s="49" t="s">
        <v>344</v>
      </c>
      <c r="EC89" s="49" t="s">
        <v>360</v>
      </c>
      <c r="ED89" s="77">
        <v>2012</v>
      </c>
      <c r="EE89" s="49">
        <v>0</v>
      </c>
      <c r="EF89" s="78" t="s">
        <v>216</v>
      </c>
      <c r="EG89" s="48" t="s">
        <v>342</v>
      </c>
      <c r="EH89" s="49" t="s">
        <v>360</v>
      </c>
      <c r="EI89" s="49" t="s">
        <v>344</v>
      </c>
      <c r="EJ89" s="49" t="s">
        <v>360</v>
      </c>
      <c r="EK89" s="77">
        <v>2012</v>
      </c>
      <c r="EL89" s="35"/>
      <c r="EM89" s="55" t="s">
        <v>216</v>
      </c>
      <c r="EN89" s="79" t="s">
        <v>116</v>
      </c>
      <c r="EO89" s="91"/>
    </row>
    <row r="90" spans="1:174" s="80" customFormat="1" ht="11.25" customHeight="1" x14ac:dyDescent="0.2">
      <c r="A90" s="101">
        <v>228</v>
      </c>
      <c r="B90" s="517">
        <v>37</v>
      </c>
      <c r="C90" s="35"/>
      <c r="D90" s="35" t="s">
        <v>144</v>
      </c>
      <c r="E90" s="40" t="s">
        <v>37</v>
      </c>
      <c r="F90" s="35" t="s">
        <v>381</v>
      </c>
      <c r="G90" s="64" t="s">
        <v>279</v>
      </c>
      <c r="H90" s="620" t="s">
        <v>360</v>
      </c>
      <c r="I90" s="64" t="s">
        <v>373</v>
      </c>
      <c r="J90" s="620" t="s">
        <v>360</v>
      </c>
      <c r="K90" s="40">
        <v>1980</v>
      </c>
      <c r="L90" s="193" t="s">
        <v>452</v>
      </c>
      <c r="M90" s="652" t="s">
        <v>457</v>
      </c>
      <c r="N90" s="199"/>
      <c r="O90" s="621" t="e">
        <v>#N/A</v>
      </c>
      <c r="P90" s="40"/>
      <c r="Q90" s="371" t="e">
        <v>#N/A</v>
      </c>
      <c r="R90" s="40" t="s">
        <v>386</v>
      </c>
      <c r="S90" s="40" t="s">
        <v>553</v>
      </c>
      <c r="T90" s="38" t="s">
        <v>105</v>
      </c>
      <c r="U90" s="39" t="s">
        <v>216</v>
      </c>
      <c r="V90" s="663" t="s">
        <v>424</v>
      </c>
      <c r="W90" s="370" t="s">
        <v>430</v>
      </c>
      <c r="X90" s="373" t="s">
        <v>426</v>
      </c>
      <c r="Y90" s="397" t="s">
        <v>430</v>
      </c>
      <c r="Z90" s="397" t="s">
        <v>426</v>
      </c>
      <c r="AA90" s="52" t="s">
        <v>410</v>
      </c>
      <c r="AB90" s="175">
        <v>5</v>
      </c>
      <c r="AC90" s="495" t="s">
        <v>360</v>
      </c>
      <c r="AD90" s="43">
        <v>9</v>
      </c>
      <c r="AE90" s="44">
        <v>3.66</v>
      </c>
      <c r="AF90" s="409"/>
      <c r="AG90" s="409"/>
      <c r="AH90" s="485" t="s">
        <v>342</v>
      </c>
      <c r="AI90" s="531" t="s">
        <v>360</v>
      </c>
      <c r="AJ90" s="688">
        <v>12</v>
      </c>
      <c r="AK90" s="493" t="s">
        <v>360</v>
      </c>
      <c r="AL90" s="494">
        <v>2016</v>
      </c>
      <c r="AM90" s="162"/>
      <c r="AN90" s="53"/>
      <c r="AO90" s="324">
        <v>6</v>
      </c>
      <c r="AP90" s="256" t="s">
        <v>360</v>
      </c>
      <c r="AQ90" s="87">
        <v>9</v>
      </c>
      <c r="AR90" s="47">
        <v>3.99</v>
      </c>
      <c r="AS90" s="47"/>
      <c r="AT90" s="48" t="s">
        <v>342</v>
      </c>
      <c r="AU90" s="492" t="s">
        <v>360</v>
      </c>
      <c r="AV90" s="49">
        <v>12</v>
      </c>
      <c r="AW90" s="484" t="s">
        <v>360</v>
      </c>
      <c r="AX90" s="159">
        <v>2019</v>
      </c>
      <c r="AY90" s="91"/>
      <c r="AZ90" s="469"/>
      <c r="BA90" s="480"/>
      <c r="BB90" s="51">
        <v>3</v>
      </c>
      <c r="BC90" s="328">
        <v>9</v>
      </c>
      <c r="BD90" s="280">
        <v>2.34</v>
      </c>
      <c r="BE90" s="280">
        <v>0.33</v>
      </c>
      <c r="BF90" s="57" t="s">
        <v>411</v>
      </c>
      <c r="BG90" s="58">
        <v>14</v>
      </c>
      <c r="BH90" s="424" t="s">
        <v>333</v>
      </c>
      <c r="BI90" s="60" t="s">
        <v>342</v>
      </c>
      <c r="BJ90" s="1272" t="s">
        <v>360</v>
      </c>
      <c r="BK90" s="422">
        <v>9</v>
      </c>
      <c r="BL90" s="489" t="s">
        <v>360</v>
      </c>
      <c r="BM90" s="245">
        <v>2019</v>
      </c>
      <c r="BN90" s="162"/>
      <c r="BO90" s="62"/>
      <c r="BP90" s="59">
        <v>15</v>
      </c>
      <c r="BQ90" s="429" t="s">
        <v>333</v>
      </c>
      <c r="BR90" s="60" t="s">
        <v>342</v>
      </c>
      <c r="BS90" s="484" t="s">
        <v>360</v>
      </c>
      <c r="BT90" s="420">
        <v>9</v>
      </c>
      <c r="BU90" s="484" t="s">
        <v>360</v>
      </c>
      <c r="BV90" s="50">
        <v>2020</v>
      </c>
      <c r="BW90" s="61"/>
      <c r="BX90" s="161"/>
      <c r="BY90" s="329">
        <v>0</v>
      </c>
      <c r="BZ90" s="57" t="s">
        <v>216</v>
      </c>
      <c r="CA90" s="392" t="s">
        <v>582</v>
      </c>
      <c r="CB90" s="63" t="s">
        <v>362</v>
      </c>
      <c r="CC90" s="41" t="s">
        <v>269</v>
      </c>
      <c r="CD90" s="52">
        <v>60</v>
      </c>
      <c r="CE90" s="35" t="s">
        <v>304</v>
      </c>
      <c r="CF90" s="35">
        <v>2013</v>
      </c>
      <c r="CG90" s="379" t="s">
        <v>426</v>
      </c>
      <c r="CH90" s="35"/>
      <c r="CI90" s="135"/>
      <c r="CJ90" s="35" t="s">
        <v>270</v>
      </c>
      <c r="CK90" s="55" t="s">
        <v>216</v>
      </c>
      <c r="CL90" s="65"/>
      <c r="CM90" s="66"/>
      <c r="CN90" s="65"/>
      <c r="CO90" s="84"/>
      <c r="CP90" s="55" t="s">
        <v>216</v>
      </c>
      <c r="CQ90" s="65"/>
      <c r="CR90" s="66"/>
      <c r="CS90" s="65"/>
      <c r="CT90" s="84"/>
      <c r="CU90" s="69" t="s">
        <v>116</v>
      </c>
      <c r="CV90" s="70" t="s">
        <v>57</v>
      </c>
      <c r="CW90" s="67">
        <v>12</v>
      </c>
      <c r="CX90" s="68">
        <v>2035</v>
      </c>
      <c r="CY90" s="67">
        <v>9</v>
      </c>
      <c r="CZ90" s="68">
        <v>2035</v>
      </c>
      <c r="DA90" s="67">
        <v>6</v>
      </c>
      <c r="DB90" s="68">
        <v>2035</v>
      </c>
      <c r="DC90" s="71" t="s">
        <v>216</v>
      </c>
      <c r="DD90" s="72" t="s">
        <v>207</v>
      </c>
      <c r="DE90" s="72"/>
      <c r="DF90" s="52">
        <v>660</v>
      </c>
      <c r="DG90" s="52">
        <v>457</v>
      </c>
      <c r="DH90" s="52">
        <v>34</v>
      </c>
      <c r="DI90" s="52" t="s">
        <v>404</v>
      </c>
      <c r="DJ90" s="52"/>
      <c r="DK90" s="52"/>
      <c r="DL90" s="57" t="s">
        <v>217</v>
      </c>
      <c r="DM90" s="65" t="s">
        <v>209</v>
      </c>
      <c r="DN90" s="36">
        <v>2012</v>
      </c>
      <c r="DO90" s="35"/>
      <c r="DP90" s="73"/>
      <c r="DQ90" s="36"/>
      <c r="DR90" s="84"/>
      <c r="DS90" s="85"/>
      <c r="DT90" s="86"/>
      <c r="DU90" s="76"/>
      <c r="DV90" s="91"/>
      <c r="DW90" s="37" t="s">
        <v>386</v>
      </c>
      <c r="DX90" s="391" t="s">
        <v>138</v>
      </c>
      <c r="DY90" s="37" t="s">
        <v>386</v>
      </c>
      <c r="DZ90" s="184" t="s">
        <v>342</v>
      </c>
      <c r="EA90" s="49" t="s">
        <v>360</v>
      </c>
      <c r="EB90" s="179">
        <v>12</v>
      </c>
      <c r="EC90" s="49" t="s">
        <v>360</v>
      </c>
      <c r="ED90" s="77">
        <v>2013</v>
      </c>
      <c r="EE90" s="49">
        <v>0</v>
      </c>
      <c r="EF90" s="78" t="s">
        <v>216</v>
      </c>
      <c r="EG90" s="184" t="s">
        <v>342</v>
      </c>
      <c r="EH90" s="49" t="s">
        <v>360</v>
      </c>
      <c r="EI90" s="179">
        <v>12</v>
      </c>
      <c r="EJ90" s="49" t="s">
        <v>360</v>
      </c>
      <c r="EK90" s="77">
        <v>2013</v>
      </c>
      <c r="EL90" s="35"/>
      <c r="EM90" s="55" t="s">
        <v>216</v>
      </c>
      <c r="EN90" s="79" t="s">
        <v>116</v>
      </c>
      <c r="EO90" s="91"/>
    </row>
    <row r="91" spans="1:174" s="238" customFormat="1" ht="11.25" customHeight="1" x14ac:dyDescent="0.2">
      <c r="A91" s="101">
        <v>234</v>
      </c>
      <c r="B91" s="517">
        <v>38</v>
      </c>
      <c r="C91" s="35"/>
      <c r="D91" s="35" t="s">
        <v>143</v>
      </c>
      <c r="E91" s="40" t="s">
        <v>20</v>
      </c>
      <c r="F91" s="35" t="s">
        <v>379</v>
      </c>
      <c r="G91" s="64" t="s">
        <v>17</v>
      </c>
      <c r="H91" s="620" t="s">
        <v>360</v>
      </c>
      <c r="I91" s="64" t="s">
        <v>373</v>
      </c>
      <c r="J91" s="620" t="s">
        <v>360</v>
      </c>
      <c r="K91" s="40">
        <v>1980</v>
      </c>
      <c r="L91" s="193" t="s">
        <v>452</v>
      </c>
      <c r="M91" s="652" t="s">
        <v>457</v>
      </c>
      <c r="N91" s="199"/>
      <c r="O91" s="621" t="e">
        <v>#N/A</v>
      </c>
      <c r="P91" s="40"/>
      <c r="Q91" s="371" t="e">
        <v>#N/A</v>
      </c>
      <c r="R91" s="40" t="s">
        <v>594</v>
      </c>
      <c r="S91" s="40" t="s">
        <v>553</v>
      </c>
      <c r="T91" s="38" t="s">
        <v>105</v>
      </c>
      <c r="U91" s="39" t="s">
        <v>216</v>
      </c>
      <c r="V91" s="663" t="s">
        <v>424</v>
      </c>
      <c r="W91" s="370" t="s">
        <v>430</v>
      </c>
      <c r="X91" s="373" t="s">
        <v>426</v>
      </c>
      <c r="Y91" s="397" t="s">
        <v>430</v>
      </c>
      <c r="Z91" s="397" t="s">
        <v>426</v>
      </c>
      <c r="AA91" s="52" t="s">
        <v>410</v>
      </c>
      <c r="AB91" s="148">
        <v>5</v>
      </c>
      <c r="AC91" s="495" t="s">
        <v>360</v>
      </c>
      <c r="AD91" s="43">
        <v>9</v>
      </c>
      <c r="AE91" s="44">
        <v>3.66</v>
      </c>
      <c r="AF91" s="409"/>
      <c r="AG91" s="109"/>
      <c r="AH91" s="48" t="s">
        <v>342</v>
      </c>
      <c r="AI91" s="484" t="s">
        <v>360</v>
      </c>
      <c r="AJ91" s="49" t="s">
        <v>346</v>
      </c>
      <c r="AK91" s="484" t="s">
        <v>360</v>
      </c>
      <c r="AL91" s="50">
        <v>2017</v>
      </c>
      <c r="AM91" s="162"/>
      <c r="AN91" s="53"/>
      <c r="AO91" s="324">
        <v>6</v>
      </c>
      <c r="AP91" s="256" t="s">
        <v>360</v>
      </c>
      <c r="AQ91" s="87">
        <v>9</v>
      </c>
      <c r="AR91" s="47">
        <v>3.99</v>
      </c>
      <c r="AS91" s="413"/>
      <c r="AT91" s="48" t="s">
        <v>342</v>
      </c>
      <c r="AU91" s="484" t="s">
        <v>360</v>
      </c>
      <c r="AV91" s="49" t="s">
        <v>346</v>
      </c>
      <c r="AW91" s="484" t="s">
        <v>360</v>
      </c>
      <c r="AX91" s="159">
        <v>2020</v>
      </c>
      <c r="AY91" s="91"/>
      <c r="AZ91" s="266"/>
      <c r="BA91" s="480"/>
      <c r="BB91" s="51">
        <v>3</v>
      </c>
      <c r="BC91" s="328">
        <v>1</v>
      </c>
      <c r="BD91" s="280">
        <v>2.34</v>
      </c>
      <c r="BE91" s="280">
        <v>0.33</v>
      </c>
      <c r="BF91" s="57" t="s">
        <v>411</v>
      </c>
      <c r="BG91" s="58">
        <v>14</v>
      </c>
      <c r="BH91" s="424" t="s">
        <v>333</v>
      </c>
      <c r="BI91" s="60" t="s">
        <v>342</v>
      </c>
      <c r="BJ91" s="1272" t="s">
        <v>360</v>
      </c>
      <c r="BK91" s="422">
        <v>9</v>
      </c>
      <c r="BL91" s="489" t="s">
        <v>360</v>
      </c>
      <c r="BM91" s="245">
        <v>2019</v>
      </c>
      <c r="BN91" s="162"/>
      <c r="BO91" s="62"/>
      <c r="BP91" s="59">
        <v>15</v>
      </c>
      <c r="BQ91" s="429" t="s">
        <v>333</v>
      </c>
      <c r="BR91" s="60" t="s">
        <v>342</v>
      </c>
      <c r="BS91" s="484" t="s">
        <v>360</v>
      </c>
      <c r="BT91" s="420">
        <v>9</v>
      </c>
      <c r="BU91" s="484" t="s">
        <v>360</v>
      </c>
      <c r="BV91" s="50">
        <v>2020</v>
      </c>
      <c r="BW91" s="61"/>
      <c r="BX91" s="161"/>
      <c r="BY91" s="329">
        <v>0</v>
      </c>
      <c r="BZ91" s="57" t="s">
        <v>216</v>
      </c>
      <c r="CA91" s="392" t="s">
        <v>582</v>
      </c>
      <c r="CB91" s="63" t="s">
        <v>362</v>
      </c>
      <c r="CC91" s="41" t="s">
        <v>269</v>
      </c>
      <c r="CD91" s="52">
        <v>68</v>
      </c>
      <c r="CE91" s="35" t="s">
        <v>116</v>
      </c>
      <c r="CF91" s="35"/>
      <c r="CG91" s="379"/>
      <c r="CH91" s="35"/>
      <c r="CI91" s="135"/>
      <c r="CJ91" s="35" t="s">
        <v>216</v>
      </c>
      <c r="CK91" s="55" t="s">
        <v>216</v>
      </c>
      <c r="CL91" s="65"/>
      <c r="CM91" s="66"/>
      <c r="CN91" s="65"/>
      <c r="CO91" s="84"/>
      <c r="CP91" s="55" t="s">
        <v>216</v>
      </c>
      <c r="CQ91" s="65"/>
      <c r="CR91" s="66"/>
      <c r="CS91" s="65"/>
      <c r="CT91" s="84"/>
      <c r="CU91" s="69" t="s">
        <v>116</v>
      </c>
      <c r="CV91" s="70" t="s">
        <v>57</v>
      </c>
      <c r="CW91" s="67">
        <v>12</v>
      </c>
      <c r="CX91" s="68">
        <v>2040</v>
      </c>
      <c r="CY91" s="67">
        <v>9</v>
      </c>
      <c r="CZ91" s="68">
        <v>2040</v>
      </c>
      <c r="DA91" s="67">
        <v>6</v>
      </c>
      <c r="DB91" s="68">
        <v>2040</v>
      </c>
      <c r="DC91" s="71" t="s">
        <v>216</v>
      </c>
      <c r="DD91" s="72" t="s">
        <v>207</v>
      </c>
      <c r="DE91" s="72"/>
      <c r="DF91" s="52">
        <v>720</v>
      </c>
      <c r="DG91" s="52">
        <v>457</v>
      </c>
      <c r="DH91" s="52">
        <v>34</v>
      </c>
      <c r="DI91" s="52" t="s">
        <v>405</v>
      </c>
      <c r="DJ91" s="93"/>
      <c r="DK91" s="52"/>
      <c r="DL91" s="57" t="s">
        <v>217</v>
      </c>
      <c r="DM91" s="65" t="s">
        <v>209</v>
      </c>
      <c r="DN91" s="36">
        <v>2012</v>
      </c>
      <c r="DO91" s="35"/>
      <c r="DP91" s="73"/>
      <c r="DQ91" s="36"/>
      <c r="DR91" s="84"/>
      <c r="DS91" s="85"/>
      <c r="DT91" s="86"/>
      <c r="DU91" s="76"/>
      <c r="DV91" s="91"/>
      <c r="DW91" s="37" t="s">
        <v>16</v>
      </c>
      <c r="DX91" s="391" t="s">
        <v>117</v>
      </c>
      <c r="DY91" s="37" t="s">
        <v>16</v>
      </c>
      <c r="DZ91" s="48" t="s">
        <v>342</v>
      </c>
      <c r="EA91" s="49" t="s">
        <v>360</v>
      </c>
      <c r="EB91" s="49" t="s">
        <v>346</v>
      </c>
      <c r="EC91" s="49" t="s">
        <v>360</v>
      </c>
      <c r="ED91" s="77" t="s">
        <v>364</v>
      </c>
      <c r="EE91" s="49">
        <v>0</v>
      </c>
      <c r="EF91" s="78" t="s">
        <v>216</v>
      </c>
      <c r="EG91" s="48" t="s">
        <v>342</v>
      </c>
      <c r="EH91" s="49" t="s">
        <v>360</v>
      </c>
      <c r="EI91" s="49" t="s">
        <v>346</v>
      </c>
      <c r="EJ91" s="49" t="s">
        <v>360</v>
      </c>
      <c r="EK91" s="77" t="s">
        <v>364</v>
      </c>
      <c r="EL91" s="35"/>
      <c r="EM91" s="55" t="s">
        <v>216</v>
      </c>
      <c r="EN91" s="79" t="s">
        <v>116</v>
      </c>
      <c r="EO91" s="91"/>
      <c r="EP91" s="80"/>
      <c r="EQ91" s="80"/>
      <c r="ER91" s="80"/>
      <c r="ES91" s="80"/>
      <c r="ET91" s="80"/>
      <c r="EU91" s="80"/>
      <c r="EV91" s="80"/>
      <c r="EW91" s="80"/>
      <c r="EX91" s="80"/>
      <c r="EY91" s="80"/>
      <c r="EZ91" s="80"/>
      <c r="FA91" s="80"/>
      <c r="FB91" s="80"/>
      <c r="FC91" s="80"/>
      <c r="FD91" s="80"/>
      <c r="FE91" s="80"/>
      <c r="FF91" s="80"/>
      <c r="FG91" s="80"/>
      <c r="FH91" s="80"/>
      <c r="FI91" s="80"/>
      <c r="FJ91" s="80"/>
      <c r="FK91" s="80"/>
      <c r="FL91" s="80"/>
      <c r="FM91" s="80"/>
      <c r="FN91" s="97"/>
      <c r="FO91" s="97"/>
      <c r="FP91" s="97"/>
      <c r="FQ91" s="97"/>
      <c r="FR91" s="97"/>
    </row>
    <row r="92" spans="1:174" s="80" customFormat="1" ht="11.25" customHeight="1" x14ac:dyDescent="0.2">
      <c r="A92" s="101">
        <v>262</v>
      </c>
      <c r="B92" s="517">
        <v>39</v>
      </c>
      <c r="C92" s="35"/>
      <c r="D92" s="35" t="s">
        <v>143</v>
      </c>
      <c r="E92" s="40" t="s">
        <v>49</v>
      </c>
      <c r="F92" s="35" t="s">
        <v>379</v>
      </c>
      <c r="G92" s="64" t="s">
        <v>326</v>
      </c>
      <c r="H92" s="620" t="s">
        <v>360</v>
      </c>
      <c r="I92" s="64">
        <v>8</v>
      </c>
      <c r="J92" s="620" t="s">
        <v>360</v>
      </c>
      <c r="K92" s="40">
        <v>1972</v>
      </c>
      <c r="L92" s="193" t="s">
        <v>452</v>
      </c>
      <c r="M92" s="652" t="s">
        <v>457</v>
      </c>
      <c r="N92" s="199"/>
      <c r="O92" s="621" t="e">
        <v>#N/A</v>
      </c>
      <c r="P92" s="40"/>
      <c r="Q92" s="371" t="e">
        <v>#N/A</v>
      </c>
      <c r="R92" s="40" t="s">
        <v>50</v>
      </c>
      <c r="S92" s="40" t="s">
        <v>556</v>
      </c>
      <c r="T92" s="38" t="s">
        <v>105</v>
      </c>
      <c r="U92" s="39" t="s">
        <v>216</v>
      </c>
      <c r="V92" s="663" t="s">
        <v>424</v>
      </c>
      <c r="W92" s="370" t="s">
        <v>430</v>
      </c>
      <c r="X92" s="373" t="s">
        <v>426</v>
      </c>
      <c r="Y92" s="397" t="s">
        <v>430</v>
      </c>
      <c r="Z92" s="397" t="s">
        <v>426</v>
      </c>
      <c r="AA92" s="52" t="s">
        <v>410</v>
      </c>
      <c r="AB92" s="148">
        <v>6</v>
      </c>
      <c r="AC92" s="495" t="s">
        <v>360</v>
      </c>
      <c r="AD92" s="43">
        <v>9</v>
      </c>
      <c r="AE92" s="44">
        <v>3.99</v>
      </c>
      <c r="AF92" s="409"/>
      <c r="AG92" s="409"/>
      <c r="AH92" s="700"/>
      <c r="AI92" s="699" t="s">
        <v>360</v>
      </c>
      <c r="AJ92" s="695"/>
      <c r="AK92" s="699" t="s">
        <v>360</v>
      </c>
      <c r="AL92" s="494"/>
      <c r="AM92" s="162"/>
      <c r="AN92" s="53"/>
      <c r="AO92" s="324">
        <v>7</v>
      </c>
      <c r="AP92" s="256" t="s">
        <v>360</v>
      </c>
      <c r="AQ92" s="87">
        <v>9</v>
      </c>
      <c r="AR92" s="47">
        <v>4.32</v>
      </c>
      <c r="AS92" s="413"/>
      <c r="AT92" s="48" t="s">
        <v>342</v>
      </c>
      <c r="AU92" s="484" t="s">
        <v>360</v>
      </c>
      <c r="AV92" s="49" t="s">
        <v>349</v>
      </c>
      <c r="AW92" s="484" t="s">
        <v>360</v>
      </c>
      <c r="AX92" s="159">
        <v>2020</v>
      </c>
      <c r="AY92" s="91"/>
      <c r="AZ92" s="266"/>
      <c r="BA92" s="480"/>
      <c r="BB92" s="51">
        <v>3</v>
      </c>
      <c r="BC92" s="328">
        <v>0</v>
      </c>
      <c r="BD92" s="280">
        <v>2.34</v>
      </c>
      <c r="BE92" s="280">
        <v>0.33</v>
      </c>
      <c r="BF92" s="57" t="s">
        <v>411</v>
      </c>
      <c r="BG92" s="58">
        <v>14</v>
      </c>
      <c r="BH92" s="424" t="s">
        <v>333</v>
      </c>
      <c r="BI92" s="60" t="s">
        <v>342</v>
      </c>
      <c r="BJ92" s="1272" t="s">
        <v>360</v>
      </c>
      <c r="BK92" s="422">
        <v>9</v>
      </c>
      <c r="BL92" s="489" t="s">
        <v>360</v>
      </c>
      <c r="BM92" s="245">
        <v>2019</v>
      </c>
      <c r="BN92" s="162"/>
      <c r="BO92" s="62"/>
      <c r="BP92" s="59">
        <v>15</v>
      </c>
      <c r="BQ92" s="429" t="s">
        <v>333</v>
      </c>
      <c r="BR92" s="60" t="s">
        <v>342</v>
      </c>
      <c r="BS92" s="484" t="s">
        <v>360</v>
      </c>
      <c r="BT92" s="420">
        <v>9</v>
      </c>
      <c r="BU92" s="484" t="s">
        <v>360</v>
      </c>
      <c r="BV92" s="50">
        <v>2020</v>
      </c>
      <c r="BW92" s="61"/>
      <c r="BX92" s="161"/>
      <c r="BY92" s="329">
        <v>0</v>
      </c>
      <c r="BZ92" s="57" t="s">
        <v>216</v>
      </c>
      <c r="CA92" s="392" t="s">
        <v>579</v>
      </c>
      <c r="CB92" s="63" t="s">
        <v>362</v>
      </c>
      <c r="CC92" s="41" t="s">
        <v>269</v>
      </c>
      <c r="CD92" s="52">
        <v>69</v>
      </c>
      <c r="CE92" s="35" t="s">
        <v>116</v>
      </c>
      <c r="CF92" s="35"/>
      <c r="CG92" s="379"/>
      <c r="CH92" s="35"/>
      <c r="CI92" s="135"/>
      <c r="CJ92" s="35" t="s">
        <v>216</v>
      </c>
      <c r="CK92" s="55" t="s">
        <v>216</v>
      </c>
      <c r="CL92" s="65"/>
      <c r="CM92" s="66"/>
      <c r="CN92" s="65"/>
      <c r="CO92" s="84"/>
      <c r="CP92" s="55" t="s">
        <v>216</v>
      </c>
      <c r="CQ92" s="65"/>
      <c r="CR92" s="66"/>
      <c r="CS92" s="65"/>
      <c r="CT92" s="84"/>
      <c r="CU92" s="69" t="s">
        <v>116</v>
      </c>
      <c r="CV92" s="70" t="s">
        <v>57</v>
      </c>
      <c r="CW92" s="67">
        <v>9</v>
      </c>
      <c r="CX92" s="68">
        <v>2032</v>
      </c>
      <c r="CY92" s="67">
        <v>6</v>
      </c>
      <c r="CZ92" s="68">
        <v>2032</v>
      </c>
      <c r="DA92" s="67">
        <v>3</v>
      </c>
      <c r="DB92" s="68">
        <v>2032</v>
      </c>
      <c r="DC92" s="71" t="s">
        <v>216</v>
      </c>
      <c r="DD92" s="72" t="s">
        <v>207</v>
      </c>
      <c r="DE92" s="72"/>
      <c r="DF92" s="52">
        <v>720</v>
      </c>
      <c r="DG92" s="52">
        <v>556</v>
      </c>
      <c r="DH92" s="52">
        <v>42</v>
      </c>
      <c r="DI92" s="52" t="s">
        <v>403</v>
      </c>
      <c r="DJ92" s="52"/>
      <c r="DK92" s="52"/>
      <c r="DL92" s="57" t="s">
        <v>217</v>
      </c>
      <c r="DM92" s="65" t="s">
        <v>209</v>
      </c>
      <c r="DN92" s="36">
        <v>2008</v>
      </c>
      <c r="DO92" s="35"/>
      <c r="DP92" s="73"/>
      <c r="DQ92" s="36"/>
      <c r="DR92" s="84"/>
      <c r="DS92" s="85"/>
      <c r="DT92" s="86"/>
      <c r="DU92" s="76"/>
      <c r="DV92" s="91"/>
      <c r="DW92" s="37" t="s">
        <v>50</v>
      </c>
      <c r="DX92" s="391" t="s">
        <v>126</v>
      </c>
      <c r="DY92" s="37" t="s">
        <v>50</v>
      </c>
      <c r="DZ92" s="48" t="s">
        <v>342</v>
      </c>
      <c r="EA92" s="49" t="s">
        <v>360</v>
      </c>
      <c r="EB92" s="49" t="s">
        <v>349</v>
      </c>
      <c r="EC92" s="49" t="s">
        <v>360</v>
      </c>
      <c r="ED92" s="77" t="s">
        <v>364</v>
      </c>
      <c r="EE92" s="49">
        <v>0</v>
      </c>
      <c r="EF92" s="78" t="s">
        <v>216</v>
      </c>
      <c r="EG92" s="48" t="s">
        <v>342</v>
      </c>
      <c r="EH92" s="49" t="s">
        <v>360</v>
      </c>
      <c r="EI92" s="49" t="s">
        <v>349</v>
      </c>
      <c r="EJ92" s="49" t="s">
        <v>360</v>
      </c>
      <c r="EK92" s="77" t="s">
        <v>364</v>
      </c>
      <c r="EL92" s="35"/>
      <c r="EM92" s="55" t="s">
        <v>216</v>
      </c>
      <c r="EN92" s="79" t="s">
        <v>116</v>
      </c>
      <c r="EO92" s="91"/>
    </row>
    <row r="93" spans="1:174" s="238" customFormat="1" ht="11.25" customHeight="1" x14ac:dyDescent="0.2">
      <c r="A93" s="101">
        <v>270</v>
      </c>
      <c r="B93" s="517">
        <v>40</v>
      </c>
      <c r="C93" s="35"/>
      <c r="D93" s="35" t="s">
        <v>144</v>
      </c>
      <c r="E93" s="40" t="s">
        <v>48</v>
      </c>
      <c r="F93" s="35" t="s">
        <v>381</v>
      </c>
      <c r="G93" s="64" t="s">
        <v>279</v>
      </c>
      <c r="H93" s="620" t="s">
        <v>360</v>
      </c>
      <c r="I93" s="64" t="s">
        <v>346</v>
      </c>
      <c r="J93" s="620" t="s">
        <v>360</v>
      </c>
      <c r="K93" s="40" t="s">
        <v>14</v>
      </c>
      <c r="L93" s="193" t="s">
        <v>452</v>
      </c>
      <c r="M93" s="652" t="s">
        <v>457</v>
      </c>
      <c r="N93" s="199"/>
      <c r="O93" s="621" t="e">
        <v>#N/A</v>
      </c>
      <c r="P93" s="40"/>
      <c r="Q93" s="371" t="e">
        <v>#N/A</v>
      </c>
      <c r="R93" s="40" t="s">
        <v>114</v>
      </c>
      <c r="S93" s="40" t="s">
        <v>556</v>
      </c>
      <c r="T93" s="38" t="s">
        <v>263</v>
      </c>
      <c r="U93" s="39" t="s">
        <v>106</v>
      </c>
      <c r="V93" s="663" t="s">
        <v>424</v>
      </c>
      <c r="W93" s="370" t="s">
        <v>429</v>
      </c>
      <c r="X93" s="373" t="s">
        <v>427</v>
      </c>
      <c r="Y93" s="397" t="s">
        <v>429</v>
      </c>
      <c r="Z93" s="397" t="s">
        <v>427</v>
      </c>
      <c r="AA93" s="52" t="s">
        <v>410</v>
      </c>
      <c r="AB93" s="175">
        <v>2</v>
      </c>
      <c r="AC93" s="495" t="s">
        <v>360</v>
      </c>
      <c r="AD93" s="43">
        <v>6</v>
      </c>
      <c r="AE93" s="44">
        <v>6.5600000000000005</v>
      </c>
      <c r="AF93" s="409"/>
      <c r="AG93" s="109"/>
      <c r="AH93" s="485"/>
      <c r="AI93" s="493" t="s">
        <v>360</v>
      </c>
      <c r="AJ93" s="109"/>
      <c r="AK93" s="493" t="s">
        <v>360</v>
      </c>
      <c r="AL93" s="494"/>
      <c r="AM93" s="162"/>
      <c r="AN93" s="53"/>
      <c r="AO93" s="324">
        <v>3</v>
      </c>
      <c r="AP93" s="256" t="s">
        <v>360</v>
      </c>
      <c r="AQ93" s="87">
        <v>6</v>
      </c>
      <c r="AR93" s="47">
        <v>6.9200000000000008</v>
      </c>
      <c r="AS93" s="413"/>
      <c r="AT93" s="48" t="s">
        <v>342</v>
      </c>
      <c r="AU93" s="484" t="s">
        <v>360</v>
      </c>
      <c r="AV93" s="49" t="s">
        <v>347</v>
      </c>
      <c r="AW93" s="484" t="s">
        <v>360</v>
      </c>
      <c r="AX93" s="696">
        <v>2019</v>
      </c>
      <c r="AY93" s="132"/>
      <c r="AZ93" s="469" t="s">
        <v>601</v>
      </c>
      <c r="BA93" s="482"/>
      <c r="BB93" s="51">
        <v>3</v>
      </c>
      <c r="BC93" s="328">
        <v>18</v>
      </c>
      <c r="BD93" s="280">
        <v>6.2</v>
      </c>
      <c r="BE93" s="280">
        <v>0.36</v>
      </c>
      <c r="BF93" s="57" t="s">
        <v>411</v>
      </c>
      <c r="BG93" s="58">
        <v>34</v>
      </c>
      <c r="BH93" s="424" t="s">
        <v>333</v>
      </c>
      <c r="BI93" s="60" t="s">
        <v>342</v>
      </c>
      <c r="BJ93" s="1272" t="s">
        <v>360</v>
      </c>
      <c r="BK93" s="422">
        <v>9</v>
      </c>
      <c r="BL93" s="489" t="s">
        <v>360</v>
      </c>
      <c r="BM93" s="245">
        <v>2019</v>
      </c>
      <c r="BN93" s="162"/>
      <c r="BO93" s="62"/>
      <c r="BP93" s="59">
        <v>35</v>
      </c>
      <c r="BQ93" s="429" t="s">
        <v>333</v>
      </c>
      <c r="BR93" s="60" t="s">
        <v>342</v>
      </c>
      <c r="BS93" s="484" t="s">
        <v>360</v>
      </c>
      <c r="BT93" s="420">
        <v>9</v>
      </c>
      <c r="BU93" s="484" t="s">
        <v>360</v>
      </c>
      <c r="BV93" s="50">
        <v>2020</v>
      </c>
      <c r="BW93" s="61"/>
      <c r="BX93" s="161"/>
      <c r="BY93" s="329">
        <v>0</v>
      </c>
      <c r="BZ93" s="57">
        <v>42</v>
      </c>
      <c r="CA93" s="392" t="s">
        <v>579</v>
      </c>
      <c r="CB93" s="63" t="s">
        <v>362</v>
      </c>
      <c r="CC93" s="41" t="s">
        <v>269</v>
      </c>
      <c r="CD93" s="52">
        <v>51</v>
      </c>
      <c r="CE93" s="35" t="s">
        <v>304</v>
      </c>
      <c r="CF93" s="35">
        <v>2010</v>
      </c>
      <c r="CG93" s="379" t="s">
        <v>428</v>
      </c>
      <c r="CH93" s="35"/>
      <c r="CI93" s="135"/>
      <c r="CJ93" s="35" t="s">
        <v>216</v>
      </c>
      <c r="CK93" s="55" t="s">
        <v>216</v>
      </c>
      <c r="CL93" s="65"/>
      <c r="CM93" s="66"/>
      <c r="CN93" s="65"/>
      <c r="CO93" s="84"/>
      <c r="CP93" s="55" t="s">
        <v>216</v>
      </c>
      <c r="CQ93" s="65"/>
      <c r="CR93" s="66"/>
      <c r="CS93" s="65"/>
      <c r="CT93" s="84"/>
      <c r="CU93" s="69" t="s">
        <v>116</v>
      </c>
      <c r="CV93" s="70" t="s">
        <v>599</v>
      </c>
      <c r="CW93" s="67">
        <v>9</v>
      </c>
      <c r="CX93" s="68">
        <v>2018</v>
      </c>
      <c r="CY93" s="67">
        <v>6</v>
      </c>
      <c r="CZ93" s="68">
        <v>2018</v>
      </c>
      <c r="DA93" s="67">
        <v>3</v>
      </c>
      <c r="DB93" s="68">
        <v>2018</v>
      </c>
      <c r="DC93" s="71">
        <v>48</v>
      </c>
      <c r="DD93" s="72" t="s">
        <v>207</v>
      </c>
      <c r="DE93" s="72"/>
      <c r="DF93" s="52">
        <v>660</v>
      </c>
      <c r="DG93" s="52">
        <v>664</v>
      </c>
      <c r="DH93" s="52">
        <v>51</v>
      </c>
      <c r="DI93" s="52" t="s">
        <v>408</v>
      </c>
      <c r="DJ93" s="52"/>
      <c r="DK93" s="52"/>
      <c r="DL93" s="57" t="s">
        <v>219</v>
      </c>
      <c r="DM93" s="65" t="s">
        <v>218</v>
      </c>
      <c r="DN93" s="36"/>
      <c r="DO93" s="35"/>
      <c r="DP93" s="73"/>
      <c r="DQ93" s="36"/>
      <c r="DR93" s="84"/>
      <c r="DS93" s="85"/>
      <c r="DT93" s="86"/>
      <c r="DU93" s="76"/>
      <c r="DV93" s="91"/>
      <c r="DW93" s="37" t="s">
        <v>114</v>
      </c>
      <c r="DX93" s="391" t="s">
        <v>126</v>
      </c>
      <c r="DY93" s="37" t="s">
        <v>114</v>
      </c>
      <c r="DZ93" s="184" t="s">
        <v>342</v>
      </c>
      <c r="EA93" s="49" t="s">
        <v>360</v>
      </c>
      <c r="EB93" s="49" t="s">
        <v>350</v>
      </c>
      <c r="EC93" s="49" t="s">
        <v>360</v>
      </c>
      <c r="ED93" s="77">
        <v>2013</v>
      </c>
      <c r="EE93" s="49">
        <v>0</v>
      </c>
      <c r="EF93" s="78" t="s">
        <v>216</v>
      </c>
      <c r="EG93" s="184" t="s">
        <v>342</v>
      </c>
      <c r="EH93" s="49" t="s">
        <v>360</v>
      </c>
      <c r="EI93" s="49" t="s">
        <v>350</v>
      </c>
      <c r="EJ93" s="49" t="s">
        <v>360</v>
      </c>
      <c r="EK93" s="77">
        <v>2013</v>
      </c>
      <c r="EL93" s="35"/>
      <c r="EM93" s="55" t="s">
        <v>216</v>
      </c>
      <c r="EN93" s="79">
        <v>-12</v>
      </c>
      <c r="EO93" s="91"/>
      <c r="EP93" s="80"/>
      <c r="EQ93" s="80"/>
      <c r="ER93" s="80"/>
      <c r="ES93" s="80"/>
      <c r="ET93" s="80"/>
      <c r="EU93" s="80"/>
      <c r="EV93" s="80"/>
      <c r="EW93" s="80"/>
      <c r="EX93" s="80"/>
      <c r="EY93" s="80"/>
      <c r="EZ93" s="80"/>
      <c r="FA93" s="80"/>
      <c r="FB93" s="80"/>
      <c r="FC93" s="80"/>
      <c r="FD93" s="80"/>
      <c r="FE93" s="80"/>
      <c r="FF93" s="80"/>
      <c r="FG93" s="80"/>
      <c r="FH93" s="80"/>
      <c r="FI93" s="80"/>
      <c r="FJ93" s="80"/>
      <c r="FK93" s="80"/>
      <c r="FL93" s="80"/>
      <c r="FM93" s="80"/>
      <c r="FN93" s="80"/>
      <c r="FO93" s="80"/>
      <c r="FP93" s="80"/>
      <c r="FQ93" s="80"/>
      <c r="FR93" s="80"/>
    </row>
    <row r="94" spans="1:174" s="80" customFormat="1" ht="11.25" customHeight="1" x14ac:dyDescent="0.2">
      <c r="A94" s="101">
        <v>279</v>
      </c>
      <c r="B94" s="517">
        <v>41</v>
      </c>
      <c r="C94" s="35"/>
      <c r="D94" s="35" t="s">
        <v>144</v>
      </c>
      <c r="E94" s="40" t="s">
        <v>41</v>
      </c>
      <c r="F94" s="35" t="s">
        <v>381</v>
      </c>
      <c r="G94" s="64" t="s">
        <v>277</v>
      </c>
      <c r="H94" s="620" t="s">
        <v>360</v>
      </c>
      <c r="I94" s="64" t="s">
        <v>372</v>
      </c>
      <c r="J94" s="620" t="s">
        <v>360</v>
      </c>
      <c r="K94" s="40">
        <v>1967</v>
      </c>
      <c r="L94" s="193" t="s">
        <v>452</v>
      </c>
      <c r="M94" s="652" t="s">
        <v>457</v>
      </c>
      <c r="N94" s="199"/>
      <c r="O94" s="621" t="s">
        <v>104</v>
      </c>
      <c r="P94" s="40" t="s">
        <v>477</v>
      </c>
      <c r="Q94" s="371">
        <v>0.8</v>
      </c>
      <c r="R94" s="40"/>
      <c r="S94" s="40" t="s">
        <v>125</v>
      </c>
      <c r="T94" s="38" t="s">
        <v>302</v>
      </c>
      <c r="U94" s="39" t="s">
        <v>303</v>
      </c>
      <c r="V94" s="663" t="s">
        <v>424</v>
      </c>
      <c r="W94" s="370" t="s">
        <v>431</v>
      </c>
      <c r="X94" s="373" t="s">
        <v>428</v>
      </c>
      <c r="Y94" s="397" t="s">
        <v>431</v>
      </c>
      <c r="Z94" s="397" t="s">
        <v>428</v>
      </c>
      <c r="AA94" s="52" t="s">
        <v>410</v>
      </c>
      <c r="AB94" s="175">
        <v>5</v>
      </c>
      <c r="AC94" s="495" t="s">
        <v>360</v>
      </c>
      <c r="AD94" s="43">
        <v>8</v>
      </c>
      <c r="AE94" s="44">
        <v>5.76</v>
      </c>
      <c r="AF94" s="409"/>
      <c r="AG94" s="109"/>
      <c r="AH94" s="485" t="s">
        <v>342</v>
      </c>
      <c r="AI94" s="531" t="s">
        <v>360</v>
      </c>
      <c r="AJ94" s="109">
        <v>3</v>
      </c>
      <c r="AK94" s="493" t="s">
        <v>360</v>
      </c>
      <c r="AL94" s="494">
        <v>2017</v>
      </c>
      <c r="AM94" s="162"/>
      <c r="AN94" s="53"/>
      <c r="AO94" s="324">
        <v>6</v>
      </c>
      <c r="AP94" s="256" t="s">
        <v>360</v>
      </c>
      <c r="AQ94" s="87">
        <v>8</v>
      </c>
      <c r="AR94" s="47">
        <v>6.1</v>
      </c>
      <c r="AS94" s="413"/>
      <c r="AT94" s="48" t="s">
        <v>342</v>
      </c>
      <c r="AU94" s="492" t="s">
        <v>360</v>
      </c>
      <c r="AV94" s="49">
        <v>3</v>
      </c>
      <c r="AW94" s="484" t="s">
        <v>360</v>
      </c>
      <c r="AX94" s="522">
        <v>2020</v>
      </c>
      <c r="AY94" s="91"/>
      <c r="AZ94" s="469"/>
      <c r="BA94" s="480"/>
      <c r="BB94" s="51">
        <v>3</v>
      </c>
      <c r="BC94" s="328">
        <v>6</v>
      </c>
      <c r="BD94" s="280">
        <v>4.4000000000000004</v>
      </c>
      <c r="BE94" s="280">
        <v>0.34</v>
      </c>
      <c r="BF94" s="57" t="s">
        <v>411</v>
      </c>
      <c r="BG94" s="58">
        <v>29</v>
      </c>
      <c r="BH94" s="424" t="s">
        <v>333</v>
      </c>
      <c r="BI94" s="60" t="s">
        <v>342</v>
      </c>
      <c r="BJ94" s="1272" t="s">
        <v>360</v>
      </c>
      <c r="BK94" s="422">
        <v>9</v>
      </c>
      <c r="BL94" s="489" t="s">
        <v>360</v>
      </c>
      <c r="BM94" s="245">
        <v>2019</v>
      </c>
      <c r="BN94" s="162"/>
      <c r="BO94" s="62"/>
      <c r="BP94" s="59">
        <v>30</v>
      </c>
      <c r="BQ94" s="429" t="s">
        <v>333</v>
      </c>
      <c r="BR94" s="60" t="s">
        <v>342</v>
      </c>
      <c r="BS94" s="484" t="s">
        <v>360</v>
      </c>
      <c r="BT94" s="420">
        <v>9</v>
      </c>
      <c r="BU94" s="484" t="s">
        <v>360</v>
      </c>
      <c r="BV94" s="50">
        <v>2020</v>
      </c>
      <c r="BW94" s="61"/>
      <c r="BX94" s="161"/>
      <c r="BY94" s="329">
        <v>0</v>
      </c>
      <c r="BZ94" s="57" t="s">
        <v>216</v>
      </c>
      <c r="CA94" s="392" t="s">
        <v>575</v>
      </c>
      <c r="CB94" s="63" t="s">
        <v>362</v>
      </c>
      <c r="CC94" s="41" t="s">
        <v>269</v>
      </c>
      <c r="CD94" s="52">
        <v>63</v>
      </c>
      <c r="CE94" s="35" t="s">
        <v>304</v>
      </c>
      <c r="CF94" s="35">
        <v>2013</v>
      </c>
      <c r="CG94" s="379" t="s">
        <v>428</v>
      </c>
      <c r="CH94" s="35"/>
      <c r="CI94" s="135"/>
      <c r="CJ94" s="35" t="s">
        <v>270</v>
      </c>
      <c r="CK94" s="55" t="s">
        <v>231</v>
      </c>
      <c r="CL94" s="65">
        <v>1</v>
      </c>
      <c r="CM94" s="66">
        <v>2009</v>
      </c>
      <c r="CN94" s="65"/>
      <c r="CO94" s="84"/>
      <c r="CP94" s="55" t="s">
        <v>216</v>
      </c>
      <c r="CQ94" s="65"/>
      <c r="CR94" s="66"/>
      <c r="CS94" s="65"/>
      <c r="CT94" s="84"/>
      <c r="CU94" s="69" t="s">
        <v>116</v>
      </c>
      <c r="CV94" s="70" t="s">
        <v>57</v>
      </c>
      <c r="CW94" s="67">
        <v>11</v>
      </c>
      <c r="CX94" s="68">
        <v>2022</v>
      </c>
      <c r="CY94" s="67">
        <v>8</v>
      </c>
      <c r="CZ94" s="68">
        <v>2022</v>
      </c>
      <c r="DA94" s="67">
        <v>5</v>
      </c>
      <c r="DB94" s="68">
        <v>2022</v>
      </c>
      <c r="DC94" s="71" t="s">
        <v>216</v>
      </c>
      <c r="DD94" s="72" t="s">
        <v>207</v>
      </c>
      <c r="DE94" s="72"/>
      <c r="DF94" s="52">
        <v>660</v>
      </c>
      <c r="DG94" s="52">
        <v>614</v>
      </c>
      <c r="DH94" s="52">
        <v>47</v>
      </c>
      <c r="DI94" s="52" t="s">
        <v>406</v>
      </c>
      <c r="DJ94" s="52"/>
      <c r="DK94" s="52"/>
      <c r="DL94" s="57" t="s">
        <v>219</v>
      </c>
      <c r="DM94" s="65" t="s">
        <v>218</v>
      </c>
      <c r="DN94" s="36"/>
      <c r="DO94" s="35"/>
      <c r="DP94" s="73"/>
      <c r="DQ94" s="36"/>
      <c r="DR94" s="84"/>
      <c r="DS94" s="85"/>
      <c r="DT94" s="86"/>
      <c r="DU94" s="76"/>
      <c r="DV94" s="91"/>
      <c r="DW94" s="37"/>
      <c r="DX94" s="391" t="s">
        <v>122</v>
      </c>
      <c r="DY94" s="37"/>
      <c r="DZ94" s="184" t="s">
        <v>342</v>
      </c>
      <c r="EA94" s="49" t="s">
        <v>360</v>
      </c>
      <c r="EB94" s="179">
        <v>3</v>
      </c>
      <c r="EC94" s="49" t="s">
        <v>360</v>
      </c>
      <c r="ED94" s="77">
        <v>2014</v>
      </c>
      <c r="EE94" s="49">
        <v>0</v>
      </c>
      <c r="EF94" s="78" t="s">
        <v>216</v>
      </c>
      <c r="EG94" s="184" t="s">
        <v>342</v>
      </c>
      <c r="EH94" s="49" t="s">
        <v>360</v>
      </c>
      <c r="EI94" s="179">
        <v>3</v>
      </c>
      <c r="EJ94" s="49" t="s">
        <v>360</v>
      </c>
      <c r="EK94" s="77">
        <v>2014</v>
      </c>
      <c r="EL94" s="35">
        <v>4.6500000000000004</v>
      </c>
      <c r="EM94" s="55" t="s">
        <v>216</v>
      </c>
      <c r="EN94" s="79" t="s">
        <v>116</v>
      </c>
      <c r="EO94" s="91"/>
      <c r="FN94" s="251"/>
      <c r="FO94" s="251"/>
      <c r="FP94" s="251"/>
      <c r="FQ94" s="251"/>
      <c r="FR94" s="251"/>
    </row>
    <row r="95" spans="1:174" s="238" customFormat="1" ht="11.25" customHeight="1" x14ac:dyDescent="0.2">
      <c r="A95" s="101">
        <v>280</v>
      </c>
      <c r="B95" s="517">
        <v>42</v>
      </c>
      <c r="C95" s="35"/>
      <c r="D95" s="35" t="s">
        <v>144</v>
      </c>
      <c r="E95" s="40" t="s">
        <v>1</v>
      </c>
      <c r="F95" s="35" t="s">
        <v>381</v>
      </c>
      <c r="G95" s="64" t="s">
        <v>284</v>
      </c>
      <c r="H95" s="620" t="s">
        <v>360</v>
      </c>
      <c r="I95" s="64" t="s">
        <v>348</v>
      </c>
      <c r="J95" s="620" t="s">
        <v>360</v>
      </c>
      <c r="K95" s="40" t="s">
        <v>314</v>
      </c>
      <c r="L95" s="193" t="s">
        <v>452</v>
      </c>
      <c r="M95" s="652" t="s">
        <v>457</v>
      </c>
      <c r="N95" s="199"/>
      <c r="O95" s="621" t="s">
        <v>104</v>
      </c>
      <c r="P95" s="40" t="s">
        <v>243</v>
      </c>
      <c r="Q95" s="371">
        <v>1</v>
      </c>
      <c r="R95" s="40"/>
      <c r="S95" s="40" t="s">
        <v>122</v>
      </c>
      <c r="T95" s="38" t="s">
        <v>263</v>
      </c>
      <c r="U95" s="39" t="s">
        <v>106</v>
      </c>
      <c r="V95" s="663" t="s">
        <v>424</v>
      </c>
      <c r="W95" s="370" t="s">
        <v>429</v>
      </c>
      <c r="X95" s="373" t="s">
        <v>427</v>
      </c>
      <c r="Y95" s="397" t="s">
        <v>429</v>
      </c>
      <c r="Z95" s="397" t="s">
        <v>427</v>
      </c>
      <c r="AA95" s="52" t="s">
        <v>410</v>
      </c>
      <c r="AB95" s="175">
        <v>4</v>
      </c>
      <c r="AC95" s="495" t="s">
        <v>360</v>
      </c>
      <c r="AD95" s="43">
        <v>6</v>
      </c>
      <c r="AE95" s="44">
        <v>7.28</v>
      </c>
      <c r="AF95" s="409"/>
      <c r="AG95" s="109"/>
      <c r="AH95" s="485" t="s">
        <v>342</v>
      </c>
      <c r="AI95" s="493" t="s">
        <v>360</v>
      </c>
      <c r="AJ95" s="109" t="s">
        <v>344</v>
      </c>
      <c r="AK95" s="493" t="s">
        <v>360</v>
      </c>
      <c r="AL95" s="494">
        <v>2017</v>
      </c>
      <c r="AM95" s="162"/>
      <c r="AN95" s="53"/>
      <c r="AO95" s="324">
        <v>5</v>
      </c>
      <c r="AP95" s="256" t="s">
        <v>360</v>
      </c>
      <c r="AQ95" s="87">
        <v>6</v>
      </c>
      <c r="AR95" s="47">
        <v>7.6400000000000006</v>
      </c>
      <c r="AS95" s="413"/>
      <c r="AT95" s="48" t="s">
        <v>342</v>
      </c>
      <c r="AU95" s="484" t="s">
        <v>360</v>
      </c>
      <c r="AV95" s="49" t="s">
        <v>344</v>
      </c>
      <c r="AW95" s="484" t="s">
        <v>360</v>
      </c>
      <c r="AX95" s="159">
        <v>2020</v>
      </c>
      <c r="AY95" s="91"/>
      <c r="AZ95" s="469"/>
      <c r="BA95" s="480"/>
      <c r="BB95" s="51">
        <v>3</v>
      </c>
      <c r="BC95" s="328">
        <v>4</v>
      </c>
      <c r="BD95" s="280">
        <v>6.2</v>
      </c>
      <c r="BE95" s="280">
        <v>0.36</v>
      </c>
      <c r="BF95" s="57" t="s">
        <v>411</v>
      </c>
      <c r="BG95" s="58">
        <v>38</v>
      </c>
      <c r="BH95" s="424" t="s">
        <v>333</v>
      </c>
      <c r="BI95" s="60" t="s">
        <v>342</v>
      </c>
      <c r="BJ95" s="1272" t="s">
        <v>360</v>
      </c>
      <c r="BK95" s="422">
        <v>9</v>
      </c>
      <c r="BL95" s="489" t="s">
        <v>360</v>
      </c>
      <c r="BM95" s="245">
        <v>2019</v>
      </c>
      <c r="BN95" s="162"/>
      <c r="BO95" s="62"/>
      <c r="BP95" s="59">
        <v>39</v>
      </c>
      <c r="BQ95" s="429" t="s">
        <v>333</v>
      </c>
      <c r="BR95" s="60" t="s">
        <v>342</v>
      </c>
      <c r="BS95" s="484" t="s">
        <v>360</v>
      </c>
      <c r="BT95" s="420">
        <v>9</v>
      </c>
      <c r="BU95" s="484" t="s">
        <v>360</v>
      </c>
      <c r="BV95" s="50">
        <v>2020</v>
      </c>
      <c r="BW95" s="61"/>
      <c r="BX95" s="161"/>
      <c r="BY95" s="329">
        <v>0</v>
      </c>
      <c r="BZ95" s="57" t="s">
        <v>216</v>
      </c>
      <c r="CA95" s="392" t="s">
        <v>604</v>
      </c>
      <c r="CB95" s="63" t="s">
        <v>362</v>
      </c>
      <c r="CC95" s="41" t="s">
        <v>269</v>
      </c>
      <c r="CD95" s="52">
        <v>65</v>
      </c>
      <c r="CE95" s="35" t="s">
        <v>304</v>
      </c>
      <c r="CF95" s="35">
        <v>2017</v>
      </c>
      <c r="CG95" s="379"/>
      <c r="CH95" s="35"/>
      <c r="CI95" s="135"/>
      <c r="CJ95" s="35" t="s">
        <v>216</v>
      </c>
      <c r="CK95" s="55" t="s">
        <v>231</v>
      </c>
      <c r="CL95" s="65">
        <v>5</v>
      </c>
      <c r="CM95" s="66">
        <v>2012</v>
      </c>
      <c r="CN95" s="65"/>
      <c r="CO95" s="84"/>
      <c r="CP95" s="55" t="s">
        <v>216</v>
      </c>
      <c r="CQ95" s="65"/>
      <c r="CR95" s="66"/>
      <c r="CS95" s="65"/>
      <c r="CT95" s="84"/>
      <c r="CU95" s="69" t="s">
        <v>116</v>
      </c>
      <c r="CV95" s="70" t="s">
        <v>57</v>
      </c>
      <c r="CW95" s="67">
        <v>8</v>
      </c>
      <c r="CX95" s="68">
        <v>2021</v>
      </c>
      <c r="CY95" s="67">
        <v>5</v>
      </c>
      <c r="CZ95" s="68">
        <v>2021</v>
      </c>
      <c r="DA95" s="67">
        <v>2</v>
      </c>
      <c r="DB95" s="68">
        <v>2021</v>
      </c>
      <c r="DC95" s="71" t="s">
        <v>216</v>
      </c>
      <c r="DD95" s="72" t="s">
        <v>573</v>
      </c>
      <c r="DE95" s="72">
        <v>7</v>
      </c>
      <c r="DF95" s="52">
        <v>744</v>
      </c>
      <c r="DG95" s="52">
        <v>713</v>
      </c>
      <c r="DH95" s="52">
        <v>55</v>
      </c>
      <c r="DI95" s="52" t="s">
        <v>408</v>
      </c>
      <c r="DJ95" s="52"/>
      <c r="DK95" s="52"/>
      <c r="DL95" s="57" t="s">
        <v>219</v>
      </c>
      <c r="DM95" s="65" t="s">
        <v>218</v>
      </c>
      <c r="DN95" s="36"/>
      <c r="DO95" s="35"/>
      <c r="DP95" s="73"/>
      <c r="DQ95" s="36"/>
      <c r="DR95" s="84"/>
      <c r="DS95" s="85"/>
      <c r="DT95" s="86"/>
      <c r="DU95" s="76"/>
      <c r="DV95" s="91"/>
      <c r="DW95" s="37"/>
      <c r="DX95" s="391" t="s">
        <v>122</v>
      </c>
      <c r="DY95" s="37"/>
      <c r="DZ95" s="48" t="s">
        <v>342</v>
      </c>
      <c r="EA95" s="49" t="s">
        <v>360</v>
      </c>
      <c r="EB95" s="49" t="s">
        <v>344</v>
      </c>
      <c r="EC95" s="49" t="s">
        <v>360</v>
      </c>
      <c r="ED95" s="77">
        <v>2012</v>
      </c>
      <c r="EE95" s="49">
        <v>0</v>
      </c>
      <c r="EF95" s="78" t="s">
        <v>216</v>
      </c>
      <c r="EG95" s="48" t="s">
        <v>342</v>
      </c>
      <c r="EH95" s="49" t="s">
        <v>360</v>
      </c>
      <c r="EI95" s="49" t="s">
        <v>344</v>
      </c>
      <c r="EJ95" s="49" t="s">
        <v>360</v>
      </c>
      <c r="EK95" s="77">
        <v>2012</v>
      </c>
      <c r="EL95" s="35">
        <v>5.42</v>
      </c>
      <c r="EM95" s="55" t="s">
        <v>216</v>
      </c>
      <c r="EN95" s="79" t="s">
        <v>116</v>
      </c>
      <c r="EO95" s="91"/>
      <c r="EP95" s="80"/>
      <c r="EQ95" s="80"/>
      <c r="ER95" s="80"/>
      <c r="ES95" s="80"/>
      <c r="ET95" s="80"/>
      <c r="EU95" s="80"/>
      <c r="EV95" s="80"/>
      <c r="EW95" s="80"/>
      <c r="EX95" s="80"/>
      <c r="EY95" s="80"/>
      <c r="EZ95" s="80"/>
      <c r="FA95" s="80"/>
      <c r="FB95" s="80"/>
      <c r="FC95" s="80"/>
      <c r="FD95" s="80"/>
      <c r="FE95" s="80"/>
      <c r="FF95" s="80"/>
      <c r="FG95" s="80"/>
      <c r="FH95" s="80"/>
      <c r="FI95" s="80"/>
      <c r="FJ95" s="80"/>
      <c r="FK95" s="80"/>
      <c r="FL95" s="80"/>
      <c r="FM95" s="80"/>
      <c r="FN95" s="80"/>
      <c r="FO95" s="80"/>
      <c r="FP95" s="80"/>
      <c r="FQ95" s="80"/>
      <c r="FR95" s="80"/>
    </row>
    <row r="96" spans="1:174" s="319" customFormat="1" ht="11.25" customHeight="1" x14ac:dyDescent="0.2">
      <c r="A96" s="101">
        <v>290</v>
      </c>
      <c r="B96" s="517">
        <v>43</v>
      </c>
      <c r="C96" s="35"/>
      <c r="D96" s="35" t="s">
        <v>144</v>
      </c>
      <c r="E96" s="40" t="s">
        <v>45</v>
      </c>
      <c r="F96" s="35" t="s">
        <v>381</v>
      </c>
      <c r="G96" s="64" t="s">
        <v>373</v>
      </c>
      <c r="H96" s="620" t="s">
        <v>360</v>
      </c>
      <c r="I96" s="64" t="s">
        <v>342</v>
      </c>
      <c r="J96" s="620" t="s">
        <v>360</v>
      </c>
      <c r="K96" s="40">
        <v>1980</v>
      </c>
      <c r="L96" s="193" t="s">
        <v>452</v>
      </c>
      <c r="M96" s="652" t="s">
        <v>457</v>
      </c>
      <c r="N96" s="199"/>
      <c r="O96" s="621" t="e">
        <v>#N/A</v>
      </c>
      <c r="P96" s="40"/>
      <c r="Q96" s="371" t="e">
        <v>#N/A</v>
      </c>
      <c r="R96" s="40" t="s">
        <v>43</v>
      </c>
      <c r="S96" s="40" t="s">
        <v>122</v>
      </c>
      <c r="T96" s="38" t="s">
        <v>105</v>
      </c>
      <c r="U96" s="39" t="s">
        <v>216</v>
      </c>
      <c r="V96" s="663" t="s">
        <v>424</v>
      </c>
      <c r="W96" s="370" t="s">
        <v>430</v>
      </c>
      <c r="X96" s="373" t="s">
        <v>426</v>
      </c>
      <c r="Y96" s="397" t="s">
        <v>430</v>
      </c>
      <c r="Z96" s="397" t="s">
        <v>426</v>
      </c>
      <c r="AA96" s="52" t="s">
        <v>410</v>
      </c>
      <c r="AB96" s="175">
        <v>5</v>
      </c>
      <c r="AC96" s="495" t="s">
        <v>360</v>
      </c>
      <c r="AD96" s="43">
        <v>9</v>
      </c>
      <c r="AE96" s="44">
        <v>3.66</v>
      </c>
      <c r="AF96" s="409"/>
      <c r="AG96" s="109"/>
      <c r="AH96" s="485" t="s">
        <v>342</v>
      </c>
      <c r="AI96" s="493" t="s">
        <v>360</v>
      </c>
      <c r="AJ96" s="109" t="s">
        <v>349</v>
      </c>
      <c r="AK96" s="493" t="s">
        <v>360</v>
      </c>
      <c r="AL96" s="494">
        <v>2015</v>
      </c>
      <c r="AM96" s="162"/>
      <c r="AN96" s="53"/>
      <c r="AO96" s="324">
        <v>6</v>
      </c>
      <c r="AP96" s="256" t="s">
        <v>360</v>
      </c>
      <c r="AQ96" s="87">
        <v>9</v>
      </c>
      <c r="AR96" s="47">
        <v>3.99</v>
      </c>
      <c r="AS96" s="413"/>
      <c r="AT96" s="48" t="s">
        <v>342</v>
      </c>
      <c r="AU96" s="484" t="s">
        <v>360</v>
      </c>
      <c r="AV96" s="49" t="s">
        <v>349</v>
      </c>
      <c r="AW96" s="484" t="s">
        <v>360</v>
      </c>
      <c r="AX96" s="159">
        <v>2018</v>
      </c>
      <c r="AY96" s="91"/>
      <c r="AZ96" s="469"/>
      <c r="BA96" s="480"/>
      <c r="BB96" s="51">
        <v>3</v>
      </c>
      <c r="BC96" s="328">
        <v>24</v>
      </c>
      <c r="BD96" s="280">
        <v>2.34</v>
      </c>
      <c r="BE96" s="280">
        <v>0.33</v>
      </c>
      <c r="BF96" s="57" t="s">
        <v>411</v>
      </c>
      <c r="BG96" s="58">
        <v>16</v>
      </c>
      <c r="BH96" s="424" t="s">
        <v>333</v>
      </c>
      <c r="BI96" s="60" t="s">
        <v>342</v>
      </c>
      <c r="BJ96" s="1272" t="s">
        <v>360</v>
      </c>
      <c r="BK96" s="422">
        <v>9</v>
      </c>
      <c r="BL96" s="489" t="s">
        <v>360</v>
      </c>
      <c r="BM96" s="245">
        <v>2019</v>
      </c>
      <c r="BN96" s="162"/>
      <c r="BO96" s="62"/>
      <c r="BP96" s="59">
        <v>17</v>
      </c>
      <c r="BQ96" s="429" t="s">
        <v>333</v>
      </c>
      <c r="BR96" s="60" t="s">
        <v>342</v>
      </c>
      <c r="BS96" s="484" t="s">
        <v>360</v>
      </c>
      <c r="BT96" s="420">
        <v>9</v>
      </c>
      <c r="BU96" s="484" t="s">
        <v>360</v>
      </c>
      <c r="BV96" s="50">
        <v>2020</v>
      </c>
      <c r="BW96" s="61"/>
      <c r="BX96" s="161"/>
      <c r="BY96" s="329">
        <v>0</v>
      </c>
      <c r="BZ96" s="57" t="s">
        <v>216</v>
      </c>
      <c r="CA96" s="392" t="s">
        <v>604</v>
      </c>
      <c r="CB96" s="63" t="s">
        <v>362</v>
      </c>
      <c r="CC96" s="41" t="s">
        <v>269</v>
      </c>
      <c r="CD96" s="52">
        <v>45</v>
      </c>
      <c r="CE96" s="35" t="s">
        <v>116</v>
      </c>
      <c r="CF96" s="35"/>
      <c r="CG96" s="379"/>
      <c r="CH96" s="35"/>
      <c r="CI96" s="135"/>
      <c r="CJ96" s="35" t="s">
        <v>216</v>
      </c>
      <c r="CK96" s="55" t="s">
        <v>216</v>
      </c>
      <c r="CL96" s="65"/>
      <c r="CM96" s="66"/>
      <c r="CN96" s="65"/>
      <c r="CO96" s="84"/>
      <c r="CP96" s="55" t="s">
        <v>216</v>
      </c>
      <c r="CQ96" s="65"/>
      <c r="CR96" s="36"/>
      <c r="CS96" s="65"/>
      <c r="CT96" s="84"/>
      <c r="CU96" s="69" t="s">
        <v>116</v>
      </c>
      <c r="CV96" s="70" t="s">
        <v>57</v>
      </c>
      <c r="CW96" s="67">
        <v>2</v>
      </c>
      <c r="CX96" s="68">
        <v>2035</v>
      </c>
      <c r="CY96" s="67">
        <v>11</v>
      </c>
      <c r="CZ96" s="68">
        <v>2034</v>
      </c>
      <c r="DA96" s="67">
        <v>8</v>
      </c>
      <c r="DB96" s="68">
        <v>2034</v>
      </c>
      <c r="DC96" s="71" t="s">
        <v>216</v>
      </c>
      <c r="DD96" s="72" t="s">
        <v>207</v>
      </c>
      <c r="DE96" s="72"/>
      <c r="DF96" s="52">
        <v>660</v>
      </c>
      <c r="DG96" s="52">
        <v>467</v>
      </c>
      <c r="DH96" s="52">
        <v>34</v>
      </c>
      <c r="DI96" s="52" t="s">
        <v>404</v>
      </c>
      <c r="DJ96" s="52"/>
      <c r="DK96" s="52"/>
      <c r="DL96" s="57" t="s">
        <v>217</v>
      </c>
      <c r="DM96" s="65" t="s">
        <v>209</v>
      </c>
      <c r="DN96" s="36">
        <v>2009</v>
      </c>
      <c r="DO96" s="35"/>
      <c r="DP96" s="73"/>
      <c r="DQ96" s="36"/>
      <c r="DR96" s="84"/>
      <c r="DS96" s="85"/>
      <c r="DT96" s="86"/>
      <c r="DU96" s="76"/>
      <c r="DV96" s="91"/>
      <c r="DW96" s="37" t="s">
        <v>43</v>
      </c>
      <c r="DX96" s="391" t="s">
        <v>122</v>
      </c>
      <c r="DY96" s="37" t="s">
        <v>43</v>
      </c>
      <c r="DZ96" s="48" t="s">
        <v>342</v>
      </c>
      <c r="EA96" s="49" t="s">
        <v>360</v>
      </c>
      <c r="EB96" s="49" t="s">
        <v>349</v>
      </c>
      <c r="EC96" s="49" t="s">
        <v>360</v>
      </c>
      <c r="ED96" s="77">
        <v>2012</v>
      </c>
      <c r="EE96" s="49">
        <v>0</v>
      </c>
      <c r="EF96" s="78" t="s">
        <v>216</v>
      </c>
      <c r="EG96" s="48" t="s">
        <v>342</v>
      </c>
      <c r="EH96" s="49" t="s">
        <v>360</v>
      </c>
      <c r="EI96" s="49" t="s">
        <v>349</v>
      </c>
      <c r="EJ96" s="49" t="s">
        <v>360</v>
      </c>
      <c r="EK96" s="77">
        <v>2012</v>
      </c>
      <c r="EL96" s="35"/>
      <c r="EM96" s="55" t="s">
        <v>216</v>
      </c>
      <c r="EN96" s="79" t="s">
        <v>116</v>
      </c>
      <c r="EO96" s="91"/>
      <c r="EP96" s="80"/>
      <c r="EQ96" s="80"/>
      <c r="ER96" s="80"/>
      <c r="ES96" s="80"/>
      <c r="ET96" s="80"/>
      <c r="EU96" s="80"/>
      <c r="EV96" s="80"/>
      <c r="EW96" s="80"/>
      <c r="EX96" s="80"/>
      <c r="EY96" s="80"/>
      <c r="EZ96" s="80"/>
      <c r="FA96" s="80"/>
      <c r="FB96" s="80"/>
      <c r="FC96" s="80"/>
      <c r="FD96" s="80"/>
      <c r="FE96" s="80"/>
      <c r="FF96" s="80"/>
      <c r="FG96" s="80"/>
      <c r="FH96" s="80"/>
      <c r="FI96" s="80"/>
      <c r="FJ96" s="80"/>
      <c r="FK96" s="80"/>
      <c r="FL96" s="80"/>
      <c r="FM96" s="80"/>
      <c r="FN96" s="80"/>
      <c r="FO96" s="80"/>
      <c r="FP96" s="80"/>
      <c r="FQ96" s="80"/>
      <c r="FR96" s="80"/>
    </row>
    <row r="97" spans="1:174" s="80" customFormat="1" ht="11.25" customHeight="1" x14ac:dyDescent="0.2">
      <c r="A97" s="101">
        <v>339</v>
      </c>
      <c r="B97" s="517">
        <v>44</v>
      </c>
      <c r="C97" s="35"/>
      <c r="D97" s="35" t="s">
        <v>144</v>
      </c>
      <c r="E97" s="40" t="s">
        <v>55</v>
      </c>
      <c r="F97" s="35" t="s">
        <v>381</v>
      </c>
      <c r="G97" s="64" t="s">
        <v>280</v>
      </c>
      <c r="H97" s="620" t="s">
        <v>360</v>
      </c>
      <c r="I97" s="64" t="s">
        <v>342</v>
      </c>
      <c r="J97" s="620" t="s">
        <v>360</v>
      </c>
      <c r="K97" s="40" t="s">
        <v>0</v>
      </c>
      <c r="L97" s="193" t="s">
        <v>452</v>
      </c>
      <c r="M97" s="652" t="s">
        <v>457</v>
      </c>
      <c r="N97" s="199"/>
      <c r="O97" s="621" t="e">
        <v>#N/A</v>
      </c>
      <c r="P97" s="40"/>
      <c r="Q97" s="371" t="e">
        <v>#N/A</v>
      </c>
      <c r="R97" s="40" t="s">
        <v>54</v>
      </c>
      <c r="S97" s="40" t="s">
        <v>130</v>
      </c>
      <c r="T97" s="38" t="s">
        <v>302</v>
      </c>
      <c r="U97" s="39" t="s">
        <v>303</v>
      </c>
      <c r="V97" s="663" t="s">
        <v>424</v>
      </c>
      <c r="W97" s="512" t="s">
        <v>431</v>
      </c>
      <c r="X97" s="373" t="s">
        <v>428</v>
      </c>
      <c r="Y97" s="397" t="s">
        <v>431</v>
      </c>
      <c r="Z97" s="397" t="s">
        <v>428</v>
      </c>
      <c r="AA97" s="52" t="s">
        <v>410</v>
      </c>
      <c r="AB97" s="148">
        <v>3</v>
      </c>
      <c r="AC97" s="495" t="s">
        <v>360</v>
      </c>
      <c r="AD97" s="43">
        <v>8</v>
      </c>
      <c r="AE97" s="44">
        <v>5.08</v>
      </c>
      <c r="AF97" s="409"/>
      <c r="AG97" s="409"/>
      <c r="AH97" s="409" t="s">
        <v>342</v>
      </c>
      <c r="AI97" s="412" t="s">
        <v>360</v>
      </c>
      <c r="AJ97" s="409" t="s">
        <v>342</v>
      </c>
      <c r="AK97" s="412" t="s">
        <v>360</v>
      </c>
      <c r="AL97" s="518">
        <v>2017</v>
      </c>
      <c r="AM97" s="162"/>
      <c r="AN97" s="53"/>
      <c r="AO97" s="45">
        <v>4</v>
      </c>
      <c r="AP97" s="490" t="s">
        <v>360</v>
      </c>
      <c r="AQ97" s="87">
        <v>8</v>
      </c>
      <c r="AR97" s="47">
        <v>5.42</v>
      </c>
      <c r="AS97" s="413"/>
      <c r="AT97" s="48" t="s">
        <v>342</v>
      </c>
      <c r="AU97" s="484" t="s">
        <v>360</v>
      </c>
      <c r="AV97" s="49" t="s">
        <v>342</v>
      </c>
      <c r="AW97" s="484" t="s">
        <v>360</v>
      </c>
      <c r="AX97" s="159">
        <v>2020</v>
      </c>
      <c r="AY97" s="91"/>
      <c r="AZ97" s="266"/>
      <c r="BA97" s="480"/>
      <c r="BB97" s="51">
        <v>3</v>
      </c>
      <c r="BC97" s="513">
        <v>8</v>
      </c>
      <c r="BD97" s="280">
        <v>4.4000000000000004</v>
      </c>
      <c r="BE97" s="280">
        <v>0.34</v>
      </c>
      <c r="BF97" s="57" t="s">
        <v>411</v>
      </c>
      <c r="BG97" s="58">
        <v>19</v>
      </c>
      <c r="BH97" s="424" t="s">
        <v>333</v>
      </c>
      <c r="BI97" s="60" t="s">
        <v>342</v>
      </c>
      <c r="BJ97" s="1272" t="s">
        <v>360</v>
      </c>
      <c r="BK97" s="422">
        <v>9</v>
      </c>
      <c r="BL97" s="489" t="s">
        <v>360</v>
      </c>
      <c r="BM97" s="245">
        <v>2019</v>
      </c>
      <c r="BN97" s="162"/>
      <c r="BO97" s="62"/>
      <c r="BP97" s="59">
        <v>20</v>
      </c>
      <c r="BQ97" s="429" t="s">
        <v>333</v>
      </c>
      <c r="BR97" s="60" t="s">
        <v>342</v>
      </c>
      <c r="BS97" s="484" t="s">
        <v>360</v>
      </c>
      <c r="BT97" s="420">
        <v>9</v>
      </c>
      <c r="BU97" s="484" t="s">
        <v>360</v>
      </c>
      <c r="BV97" s="50">
        <v>2020</v>
      </c>
      <c r="BW97" s="61"/>
      <c r="BX97" s="161"/>
      <c r="BY97" s="329">
        <v>0</v>
      </c>
      <c r="BZ97" s="57" t="s">
        <v>216</v>
      </c>
      <c r="CA97" s="392" t="s">
        <v>593</v>
      </c>
      <c r="CB97" s="63" t="s">
        <v>362</v>
      </c>
      <c r="CC97" s="41" t="s">
        <v>269</v>
      </c>
      <c r="CD97" s="52">
        <v>61</v>
      </c>
      <c r="CE97" s="35" t="s">
        <v>116</v>
      </c>
      <c r="CF97" s="35"/>
      <c r="CG97" s="379"/>
      <c r="CH97" s="35"/>
      <c r="CI97" s="135"/>
      <c r="CJ97" s="35" t="s">
        <v>216</v>
      </c>
      <c r="CK97" s="55" t="s">
        <v>231</v>
      </c>
      <c r="CL97" s="65">
        <v>1</v>
      </c>
      <c r="CM97" s="66" t="s">
        <v>364</v>
      </c>
      <c r="CN97" s="65"/>
      <c r="CO97" s="84"/>
      <c r="CP97" s="55" t="s">
        <v>216</v>
      </c>
      <c r="CQ97" s="65"/>
      <c r="CR97" s="66"/>
      <c r="CS97" s="65"/>
      <c r="CT97" s="84"/>
      <c r="CU97" s="69" t="s">
        <v>116</v>
      </c>
      <c r="CV97" s="70" t="s">
        <v>57</v>
      </c>
      <c r="CW97" s="67">
        <v>2</v>
      </c>
      <c r="CX97" s="68">
        <v>2031</v>
      </c>
      <c r="CY97" s="67">
        <v>11</v>
      </c>
      <c r="CZ97" s="68">
        <v>2030</v>
      </c>
      <c r="DA97" s="67">
        <v>8</v>
      </c>
      <c r="DB97" s="68">
        <v>2030</v>
      </c>
      <c r="DC97" s="71" t="s">
        <v>216</v>
      </c>
      <c r="DD97" s="72" t="s">
        <v>207</v>
      </c>
      <c r="DE97" s="72"/>
      <c r="DF97" s="52">
        <v>660</v>
      </c>
      <c r="DG97" s="52">
        <v>515</v>
      </c>
      <c r="DH97" s="52">
        <v>38</v>
      </c>
      <c r="DI97" s="52" t="s">
        <v>404</v>
      </c>
      <c r="DJ97" s="52"/>
      <c r="DK97" s="52"/>
      <c r="DL97" s="57" t="s">
        <v>217</v>
      </c>
      <c r="DM97" s="65" t="s">
        <v>218</v>
      </c>
      <c r="DN97" s="36"/>
      <c r="DO97" s="35"/>
      <c r="DP97" s="73"/>
      <c r="DQ97" s="36"/>
      <c r="DR97" s="84"/>
      <c r="DS97" s="85"/>
      <c r="DT97" s="86"/>
      <c r="DU97" s="76"/>
      <c r="DV97" s="91"/>
      <c r="DW97" s="37" t="s">
        <v>54</v>
      </c>
      <c r="DX97" s="391" t="s">
        <v>130</v>
      </c>
      <c r="DY97" s="37" t="s">
        <v>54</v>
      </c>
      <c r="DZ97" s="48" t="s">
        <v>342</v>
      </c>
      <c r="EA97" s="49" t="s">
        <v>360</v>
      </c>
      <c r="EB97" s="49" t="s">
        <v>342</v>
      </c>
      <c r="EC97" s="49" t="s">
        <v>360</v>
      </c>
      <c r="ED97" s="77">
        <v>2014</v>
      </c>
      <c r="EE97" s="49">
        <v>0</v>
      </c>
      <c r="EF97" s="78" t="s">
        <v>216</v>
      </c>
      <c r="EG97" s="48" t="s">
        <v>342</v>
      </c>
      <c r="EH97" s="49" t="s">
        <v>360</v>
      </c>
      <c r="EI97" s="49" t="s">
        <v>342</v>
      </c>
      <c r="EJ97" s="49" t="s">
        <v>360</v>
      </c>
      <c r="EK97" s="77">
        <v>2014</v>
      </c>
      <c r="EL97" s="35">
        <v>3.66</v>
      </c>
      <c r="EM97" s="55" t="s">
        <v>216</v>
      </c>
      <c r="EN97" s="79" t="s">
        <v>116</v>
      </c>
      <c r="EO97" s="91"/>
    </row>
    <row r="98" spans="1:174" s="80" customFormat="1" ht="11.25" customHeight="1" x14ac:dyDescent="0.2">
      <c r="A98" s="101">
        <v>345</v>
      </c>
      <c r="B98" s="517">
        <v>45</v>
      </c>
      <c r="C98" s="35"/>
      <c r="D98" s="35" t="s">
        <v>144</v>
      </c>
      <c r="E98" s="40" t="s">
        <v>56</v>
      </c>
      <c r="F98" s="35" t="s">
        <v>381</v>
      </c>
      <c r="G98" s="64" t="s">
        <v>275</v>
      </c>
      <c r="H98" s="620" t="s">
        <v>360</v>
      </c>
      <c r="I98" s="64" t="s">
        <v>350</v>
      </c>
      <c r="J98" s="620" t="s">
        <v>360</v>
      </c>
      <c r="K98" s="40">
        <v>1972</v>
      </c>
      <c r="L98" s="193" t="s">
        <v>452</v>
      </c>
      <c r="M98" s="652" t="s">
        <v>457</v>
      </c>
      <c r="N98" s="199"/>
      <c r="O98" s="621" t="s">
        <v>104</v>
      </c>
      <c r="P98" s="40" t="s">
        <v>255</v>
      </c>
      <c r="Q98" s="371">
        <v>0.6</v>
      </c>
      <c r="R98" s="40" t="s">
        <v>318</v>
      </c>
      <c r="S98" s="40" t="s">
        <v>130</v>
      </c>
      <c r="T98" s="38" t="s">
        <v>302</v>
      </c>
      <c r="U98" s="39" t="s">
        <v>303</v>
      </c>
      <c r="V98" s="663" t="s">
        <v>424</v>
      </c>
      <c r="W98" s="370" t="s">
        <v>431</v>
      </c>
      <c r="X98" s="373" t="s">
        <v>428</v>
      </c>
      <c r="Y98" s="397" t="s">
        <v>431</v>
      </c>
      <c r="Z98" s="397" t="s">
        <v>428</v>
      </c>
      <c r="AA98" s="52" t="s">
        <v>410</v>
      </c>
      <c r="AB98" s="175">
        <v>3</v>
      </c>
      <c r="AC98" s="495" t="s">
        <v>360</v>
      </c>
      <c r="AD98" s="43">
        <v>8</v>
      </c>
      <c r="AE98" s="44">
        <v>5.08</v>
      </c>
      <c r="AF98" s="409"/>
      <c r="AG98" s="409"/>
      <c r="AH98" s="700" t="s">
        <v>342</v>
      </c>
      <c r="AI98" s="699" t="s">
        <v>360</v>
      </c>
      <c r="AJ98" s="695" t="s">
        <v>342</v>
      </c>
      <c r="AK98" s="699" t="s">
        <v>360</v>
      </c>
      <c r="AL98" s="494">
        <v>2017</v>
      </c>
      <c r="AM98" s="162"/>
      <c r="AN98" s="53"/>
      <c r="AO98" s="45">
        <v>4</v>
      </c>
      <c r="AP98" s="490" t="s">
        <v>360</v>
      </c>
      <c r="AQ98" s="87">
        <v>8</v>
      </c>
      <c r="AR98" s="47">
        <v>5.42</v>
      </c>
      <c r="AS98" s="47"/>
      <c r="AT98" s="48" t="s">
        <v>342</v>
      </c>
      <c r="AU98" s="484" t="s">
        <v>360</v>
      </c>
      <c r="AV98" s="49" t="s">
        <v>342</v>
      </c>
      <c r="AW98" s="484" t="s">
        <v>360</v>
      </c>
      <c r="AX98" s="159">
        <v>2020</v>
      </c>
      <c r="AY98" s="91"/>
      <c r="AZ98" s="266"/>
      <c r="BA98" s="480"/>
      <c r="BB98" s="51">
        <v>3</v>
      </c>
      <c r="BC98" s="328">
        <v>8</v>
      </c>
      <c r="BD98" s="280">
        <v>4.4000000000000004</v>
      </c>
      <c r="BE98" s="280">
        <v>0.34</v>
      </c>
      <c r="BF98" s="57" t="s">
        <v>411</v>
      </c>
      <c r="BG98" s="58">
        <v>22</v>
      </c>
      <c r="BH98" s="424" t="s">
        <v>333</v>
      </c>
      <c r="BI98" s="60" t="s">
        <v>342</v>
      </c>
      <c r="BJ98" s="1272" t="s">
        <v>360</v>
      </c>
      <c r="BK98" s="422">
        <v>9</v>
      </c>
      <c r="BL98" s="489" t="s">
        <v>360</v>
      </c>
      <c r="BM98" s="245">
        <v>2019</v>
      </c>
      <c r="BN98" s="162"/>
      <c r="BO98" s="62"/>
      <c r="BP98" s="59">
        <v>23</v>
      </c>
      <c r="BQ98" s="429" t="s">
        <v>333</v>
      </c>
      <c r="BR98" s="60" t="s">
        <v>342</v>
      </c>
      <c r="BS98" s="484" t="s">
        <v>360</v>
      </c>
      <c r="BT98" s="420">
        <v>9</v>
      </c>
      <c r="BU98" s="484" t="s">
        <v>360</v>
      </c>
      <c r="BV98" s="50">
        <v>2020</v>
      </c>
      <c r="BW98" s="61"/>
      <c r="BX98" s="161"/>
      <c r="BY98" s="329">
        <v>0</v>
      </c>
      <c r="BZ98" s="57" t="s">
        <v>216</v>
      </c>
      <c r="CA98" s="392" t="s">
        <v>593</v>
      </c>
      <c r="CB98" s="63" t="s">
        <v>362</v>
      </c>
      <c r="CC98" s="41" t="s">
        <v>269</v>
      </c>
      <c r="CD98" s="52">
        <v>61</v>
      </c>
      <c r="CE98" s="35" t="s">
        <v>116</v>
      </c>
      <c r="CF98" s="35"/>
      <c r="CG98" s="379"/>
      <c r="CH98" s="35"/>
      <c r="CI98" s="135"/>
      <c r="CJ98" s="35" t="s">
        <v>216</v>
      </c>
      <c r="CK98" s="55" t="s">
        <v>231</v>
      </c>
      <c r="CL98" s="65">
        <v>1</v>
      </c>
      <c r="CM98" s="66" t="s">
        <v>364</v>
      </c>
      <c r="CN98" s="65"/>
      <c r="CO98" s="84"/>
      <c r="CP98" s="55" t="s">
        <v>216</v>
      </c>
      <c r="CQ98" s="65"/>
      <c r="CR98" s="66"/>
      <c r="CS98" s="65"/>
      <c r="CT98" s="84"/>
      <c r="CU98" s="69" t="s">
        <v>116</v>
      </c>
      <c r="CV98" s="70" t="s">
        <v>57</v>
      </c>
      <c r="CW98" s="67">
        <v>1</v>
      </c>
      <c r="CX98" s="68">
        <v>2028</v>
      </c>
      <c r="CY98" s="67">
        <v>10</v>
      </c>
      <c r="CZ98" s="68">
        <v>2027</v>
      </c>
      <c r="DA98" s="67">
        <v>7</v>
      </c>
      <c r="DB98" s="68">
        <v>2027</v>
      </c>
      <c r="DC98" s="71" t="s">
        <v>216</v>
      </c>
      <c r="DD98" s="72" t="s">
        <v>207</v>
      </c>
      <c r="DE98" s="72"/>
      <c r="DF98" s="52">
        <v>660</v>
      </c>
      <c r="DG98" s="52">
        <v>552</v>
      </c>
      <c r="DH98" s="52">
        <v>42</v>
      </c>
      <c r="DI98" s="52" t="s">
        <v>406</v>
      </c>
      <c r="DJ98" s="52"/>
      <c r="DK98" s="52"/>
      <c r="DL98" s="57" t="s">
        <v>217</v>
      </c>
      <c r="DM98" s="65" t="s">
        <v>218</v>
      </c>
      <c r="DN98" s="36"/>
      <c r="DO98" s="35"/>
      <c r="DP98" s="73"/>
      <c r="DQ98" s="36"/>
      <c r="DR98" s="84"/>
      <c r="DS98" s="85"/>
      <c r="DT98" s="86"/>
      <c r="DU98" s="76"/>
      <c r="DV98" s="91"/>
      <c r="DW98" s="37" t="s">
        <v>318</v>
      </c>
      <c r="DX98" s="391" t="s">
        <v>130</v>
      </c>
      <c r="DY98" s="37" t="s">
        <v>318</v>
      </c>
      <c r="DZ98" s="48" t="s">
        <v>342</v>
      </c>
      <c r="EA98" s="49" t="s">
        <v>360</v>
      </c>
      <c r="EB98" s="49" t="s">
        <v>342</v>
      </c>
      <c r="EC98" s="49" t="s">
        <v>360</v>
      </c>
      <c r="ED98" s="77">
        <v>2014</v>
      </c>
      <c r="EE98" s="49">
        <v>0</v>
      </c>
      <c r="EF98" s="78" t="s">
        <v>216</v>
      </c>
      <c r="EG98" s="48" t="s">
        <v>342</v>
      </c>
      <c r="EH98" s="49" t="s">
        <v>360</v>
      </c>
      <c r="EI98" s="49" t="s">
        <v>342</v>
      </c>
      <c r="EJ98" s="49" t="s">
        <v>360</v>
      </c>
      <c r="EK98" s="77">
        <v>2014</v>
      </c>
      <c r="EL98" s="35">
        <v>3.66</v>
      </c>
      <c r="EM98" s="55" t="s">
        <v>216</v>
      </c>
      <c r="EN98" s="79" t="s">
        <v>116</v>
      </c>
      <c r="EO98" s="91"/>
      <c r="FN98" s="156"/>
      <c r="FO98" s="156"/>
      <c r="FP98" s="156"/>
      <c r="FQ98" s="156"/>
      <c r="FR98" s="156"/>
    </row>
    <row r="99" spans="1:174" s="319" customFormat="1" ht="13.5" customHeight="1" x14ac:dyDescent="0.2">
      <c r="A99" s="101">
        <v>454</v>
      </c>
      <c r="B99" s="517">
        <v>46</v>
      </c>
      <c r="C99" s="35"/>
      <c r="D99" s="35" t="s">
        <v>144</v>
      </c>
      <c r="E99" s="40" t="s">
        <v>112</v>
      </c>
      <c r="F99" s="35" t="s">
        <v>381</v>
      </c>
      <c r="G99" s="64" t="s">
        <v>286</v>
      </c>
      <c r="H99" s="620" t="s">
        <v>360</v>
      </c>
      <c r="I99" s="64" t="s">
        <v>372</v>
      </c>
      <c r="J99" s="620" t="s">
        <v>360</v>
      </c>
      <c r="K99" s="40" t="s">
        <v>0</v>
      </c>
      <c r="L99" s="193" t="s">
        <v>452</v>
      </c>
      <c r="M99" s="652" t="s">
        <v>457</v>
      </c>
      <c r="N99" s="199"/>
      <c r="O99" s="621" t="e">
        <v>#N/A</v>
      </c>
      <c r="P99" s="40"/>
      <c r="Q99" s="371" t="e">
        <v>#N/A</v>
      </c>
      <c r="R99" s="40" t="s">
        <v>586</v>
      </c>
      <c r="S99" s="40" t="s">
        <v>130</v>
      </c>
      <c r="T99" s="38" t="s">
        <v>105</v>
      </c>
      <c r="U99" s="39" t="s">
        <v>216</v>
      </c>
      <c r="V99" s="663" t="s">
        <v>424</v>
      </c>
      <c r="W99" s="370" t="s">
        <v>430</v>
      </c>
      <c r="X99" s="373" t="s">
        <v>426</v>
      </c>
      <c r="Y99" s="397" t="s">
        <v>430</v>
      </c>
      <c r="Z99" s="397" t="s">
        <v>426</v>
      </c>
      <c r="AA99" s="52" t="s">
        <v>410</v>
      </c>
      <c r="AB99" s="175">
        <v>5</v>
      </c>
      <c r="AC99" s="495" t="s">
        <v>360</v>
      </c>
      <c r="AD99" s="43">
        <v>9</v>
      </c>
      <c r="AE99" s="44">
        <v>3.66</v>
      </c>
      <c r="AF99" s="409"/>
      <c r="AG99" s="409"/>
      <c r="AH99" s="485"/>
      <c r="AI99" s="531" t="s">
        <v>360</v>
      </c>
      <c r="AJ99" s="109"/>
      <c r="AK99" s="493" t="s">
        <v>360</v>
      </c>
      <c r="AL99" s="494"/>
      <c r="AM99" s="162"/>
      <c r="AN99" s="53"/>
      <c r="AO99" s="45">
        <v>6</v>
      </c>
      <c r="AP99" s="490" t="s">
        <v>360</v>
      </c>
      <c r="AQ99" s="87">
        <v>9</v>
      </c>
      <c r="AR99" s="47">
        <v>3.99</v>
      </c>
      <c r="AS99" s="47"/>
      <c r="AT99" s="48" t="s">
        <v>342</v>
      </c>
      <c r="AU99" s="492" t="s">
        <v>360</v>
      </c>
      <c r="AV99" s="49" t="s">
        <v>372</v>
      </c>
      <c r="AW99" s="484" t="s">
        <v>360</v>
      </c>
      <c r="AX99" s="159">
        <v>2018</v>
      </c>
      <c r="AY99" s="159"/>
      <c r="AZ99" s="475" t="s">
        <v>580</v>
      </c>
      <c r="BA99" s="480"/>
      <c r="BB99" s="51">
        <v>3</v>
      </c>
      <c r="BC99" s="328">
        <v>23</v>
      </c>
      <c r="BD99" s="280">
        <v>2.34</v>
      </c>
      <c r="BE99" s="280">
        <v>0.33</v>
      </c>
      <c r="BF99" s="57" t="s">
        <v>411</v>
      </c>
      <c r="BG99" s="58">
        <v>14</v>
      </c>
      <c r="BH99" s="424" t="s">
        <v>333</v>
      </c>
      <c r="BI99" s="60" t="s">
        <v>342</v>
      </c>
      <c r="BJ99" s="1272" t="s">
        <v>360</v>
      </c>
      <c r="BK99" s="422">
        <v>9</v>
      </c>
      <c r="BL99" s="489" t="s">
        <v>360</v>
      </c>
      <c r="BM99" s="245">
        <v>2019</v>
      </c>
      <c r="BN99" s="162"/>
      <c r="BO99" s="62"/>
      <c r="BP99" s="59">
        <v>15</v>
      </c>
      <c r="BQ99" s="429" t="s">
        <v>333</v>
      </c>
      <c r="BR99" s="60" t="s">
        <v>342</v>
      </c>
      <c r="BS99" s="484" t="s">
        <v>360</v>
      </c>
      <c r="BT99" s="420">
        <v>9</v>
      </c>
      <c r="BU99" s="484" t="s">
        <v>360</v>
      </c>
      <c r="BV99" s="50">
        <v>2020</v>
      </c>
      <c r="BW99" s="61" t="s">
        <v>26</v>
      </c>
      <c r="BX99" s="161"/>
      <c r="BY99" s="329">
        <v>0</v>
      </c>
      <c r="BZ99" s="57" t="s">
        <v>216</v>
      </c>
      <c r="CA99" s="392" t="s">
        <v>593</v>
      </c>
      <c r="CB99" s="63" t="s">
        <v>362</v>
      </c>
      <c r="CC99" s="41" t="s">
        <v>269</v>
      </c>
      <c r="CD99" s="52">
        <v>46</v>
      </c>
      <c r="CE99" s="35" t="s">
        <v>116</v>
      </c>
      <c r="CF99" s="35"/>
      <c r="CG99" s="379"/>
      <c r="CH99" s="35"/>
      <c r="CI99" s="135"/>
      <c r="CJ99" s="35" t="s">
        <v>216</v>
      </c>
      <c r="CK99" s="55" t="s">
        <v>216</v>
      </c>
      <c r="CL99" s="65" t="s">
        <v>116</v>
      </c>
      <c r="CM99" s="66"/>
      <c r="CN99" s="65"/>
      <c r="CO99" s="84"/>
      <c r="CP99" s="55" t="s">
        <v>216</v>
      </c>
      <c r="CQ99" s="65"/>
      <c r="CR99" s="66"/>
      <c r="CS99" s="65"/>
      <c r="CT99" s="84"/>
      <c r="CU99" s="69" t="s">
        <v>116</v>
      </c>
      <c r="CV99" s="70" t="s">
        <v>57</v>
      </c>
      <c r="CW99" s="67">
        <v>11</v>
      </c>
      <c r="CX99" s="68">
        <v>2031</v>
      </c>
      <c r="CY99" s="67">
        <v>8</v>
      </c>
      <c r="CZ99" s="68">
        <v>2031</v>
      </c>
      <c r="DA99" s="67">
        <v>5</v>
      </c>
      <c r="DB99" s="68">
        <v>2031</v>
      </c>
      <c r="DC99" s="71" t="s">
        <v>216</v>
      </c>
      <c r="DD99" s="72" t="s">
        <v>207</v>
      </c>
      <c r="DE99" s="72"/>
      <c r="DF99" s="52">
        <v>660</v>
      </c>
      <c r="DG99" s="52">
        <v>506</v>
      </c>
      <c r="DH99" s="52">
        <v>38</v>
      </c>
      <c r="DI99" s="52" t="s">
        <v>404</v>
      </c>
      <c r="DJ99" s="52"/>
      <c r="DK99" s="52"/>
      <c r="DL99" s="57" t="s">
        <v>217</v>
      </c>
      <c r="DM99" s="65"/>
      <c r="DN99" s="36" t="s">
        <v>209</v>
      </c>
      <c r="DO99" s="35"/>
      <c r="DP99" s="73"/>
      <c r="DQ99" s="36"/>
      <c r="DR99" s="84"/>
      <c r="DS99" s="85"/>
      <c r="DT99" s="86"/>
      <c r="DU99" s="76"/>
      <c r="DV99" s="91"/>
      <c r="DW99" s="37"/>
      <c r="DX99" s="391" t="s">
        <v>363</v>
      </c>
      <c r="DY99" s="37"/>
      <c r="DZ99" s="184" t="s">
        <v>342</v>
      </c>
      <c r="EA99" s="49" t="s">
        <v>360</v>
      </c>
      <c r="EB99" s="179" t="s">
        <v>377</v>
      </c>
      <c r="EC99" s="49" t="s">
        <v>360</v>
      </c>
      <c r="ED99" s="77">
        <v>2013</v>
      </c>
      <c r="EE99" s="49">
        <v>0</v>
      </c>
      <c r="EF99" s="78" t="s">
        <v>216</v>
      </c>
      <c r="EG99" s="184" t="s">
        <v>342</v>
      </c>
      <c r="EH99" s="49" t="s">
        <v>360</v>
      </c>
      <c r="EI99" s="179" t="s">
        <v>377</v>
      </c>
      <c r="EJ99" s="49" t="s">
        <v>360</v>
      </c>
      <c r="EK99" s="77">
        <v>2013</v>
      </c>
      <c r="EL99" s="35"/>
      <c r="EM99" s="55" t="s">
        <v>216</v>
      </c>
      <c r="EN99" s="79" t="s">
        <v>116</v>
      </c>
      <c r="EO99" s="91"/>
      <c r="EP99" s="80"/>
      <c r="EQ99" s="80"/>
      <c r="ER99" s="80"/>
      <c r="ES99" s="80"/>
      <c r="ET99" s="80"/>
      <c r="EU99" s="80"/>
      <c r="EV99" s="80"/>
      <c r="EW99" s="80"/>
      <c r="EX99" s="80"/>
      <c r="EY99" s="80"/>
      <c r="EZ99" s="80"/>
      <c r="FA99" s="80"/>
      <c r="FB99" s="80"/>
      <c r="FC99" s="80"/>
      <c r="FD99" s="80"/>
      <c r="FE99" s="80"/>
      <c r="FF99" s="80"/>
      <c r="FG99" s="80"/>
      <c r="FH99" s="80"/>
      <c r="FI99" s="80"/>
      <c r="FJ99" s="80"/>
      <c r="FK99" s="80"/>
      <c r="FL99" s="80"/>
      <c r="FM99" s="80"/>
      <c r="FN99" s="80"/>
      <c r="FO99" s="80"/>
      <c r="FP99" s="80"/>
      <c r="FQ99" s="80"/>
      <c r="FR99" s="80"/>
    </row>
    <row r="100" spans="1:174" s="319" customFormat="1" ht="13.5" customHeight="1" x14ac:dyDescent="0.2">
      <c r="A100" s="101">
        <v>569</v>
      </c>
      <c r="B100" s="517">
        <v>47</v>
      </c>
      <c r="C100" s="35" t="s">
        <v>388</v>
      </c>
      <c r="D100" s="35" t="s">
        <v>144</v>
      </c>
      <c r="E100" s="40" t="s">
        <v>472</v>
      </c>
      <c r="F100" s="35" t="s">
        <v>381</v>
      </c>
      <c r="G100" s="64" t="s">
        <v>278</v>
      </c>
      <c r="H100" s="620" t="s">
        <v>360</v>
      </c>
      <c r="I100" s="64" t="s">
        <v>344</v>
      </c>
      <c r="J100" s="620" t="s">
        <v>360</v>
      </c>
      <c r="K100" s="40">
        <v>1972</v>
      </c>
      <c r="L100" s="193" t="s">
        <v>452</v>
      </c>
      <c r="M100" s="652" t="s">
        <v>457</v>
      </c>
      <c r="N100" s="199"/>
      <c r="O100" s="621" t="s">
        <v>104</v>
      </c>
      <c r="P100" s="40" t="s">
        <v>250</v>
      </c>
      <c r="Q100" s="371" t="s">
        <v>254</v>
      </c>
      <c r="R100" s="40" t="s">
        <v>571</v>
      </c>
      <c r="S100" s="40" t="s">
        <v>125</v>
      </c>
      <c r="T100" s="38" t="s">
        <v>105</v>
      </c>
      <c r="U100" s="39" t="s">
        <v>216</v>
      </c>
      <c r="V100" s="663" t="s">
        <v>424</v>
      </c>
      <c r="W100" s="370" t="s">
        <v>430</v>
      </c>
      <c r="X100" s="373" t="s">
        <v>426</v>
      </c>
      <c r="Y100" s="397" t="s">
        <v>430</v>
      </c>
      <c r="Z100" s="397" t="s">
        <v>426</v>
      </c>
      <c r="AA100" s="52" t="s">
        <v>410</v>
      </c>
      <c r="AB100" s="175">
        <v>8</v>
      </c>
      <c r="AC100" s="495" t="s">
        <v>360</v>
      </c>
      <c r="AD100" s="43">
        <v>9</v>
      </c>
      <c r="AE100" s="44">
        <v>4.6500000000000004</v>
      </c>
      <c r="AF100" s="409"/>
      <c r="AG100" s="409"/>
      <c r="AH100" s="485" t="s">
        <v>342</v>
      </c>
      <c r="AI100" s="531" t="s">
        <v>360</v>
      </c>
      <c r="AJ100" s="109" t="s">
        <v>346</v>
      </c>
      <c r="AK100" s="493" t="s">
        <v>360</v>
      </c>
      <c r="AL100" s="494">
        <v>2017</v>
      </c>
      <c r="AM100" s="162"/>
      <c r="AN100" s="53"/>
      <c r="AO100" s="45">
        <v>9</v>
      </c>
      <c r="AP100" s="490" t="s">
        <v>360</v>
      </c>
      <c r="AQ100" s="87">
        <v>9</v>
      </c>
      <c r="AR100" s="47">
        <v>4.9800000000000004</v>
      </c>
      <c r="AS100" s="413"/>
      <c r="AT100" s="48" t="s">
        <v>342</v>
      </c>
      <c r="AU100" s="492" t="s">
        <v>360</v>
      </c>
      <c r="AV100" s="49" t="s">
        <v>346</v>
      </c>
      <c r="AW100" s="484" t="s">
        <v>360</v>
      </c>
      <c r="AX100" s="159">
        <v>2020</v>
      </c>
      <c r="AY100" s="159"/>
      <c r="AZ100" s="475"/>
      <c r="BA100" s="480"/>
      <c r="BB100" s="51">
        <v>3</v>
      </c>
      <c r="BC100" s="328">
        <v>1</v>
      </c>
      <c r="BD100" s="280">
        <v>2.34</v>
      </c>
      <c r="BE100" s="280">
        <v>0.33</v>
      </c>
      <c r="BF100" s="57" t="s">
        <v>411</v>
      </c>
      <c r="BG100" s="58">
        <v>26</v>
      </c>
      <c r="BH100" s="424" t="s">
        <v>333</v>
      </c>
      <c r="BI100" s="60" t="s">
        <v>342</v>
      </c>
      <c r="BJ100" s="1272" t="s">
        <v>360</v>
      </c>
      <c r="BK100" s="422" t="s">
        <v>349</v>
      </c>
      <c r="BL100" s="489" t="s">
        <v>360</v>
      </c>
      <c r="BM100" s="245">
        <v>2019</v>
      </c>
      <c r="BN100" s="162"/>
      <c r="BO100" s="62"/>
      <c r="BP100" s="59">
        <v>27</v>
      </c>
      <c r="BQ100" s="429" t="s">
        <v>333</v>
      </c>
      <c r="BR100" s="60" t="s">
        <v>342</v>
      </c>
      <c r="BS100" s="484" t="s">
        <v>360</v>
      </c>
      <c r="BT100" s="420" t="s">
        <v>349</v>
      </c>
      <c r="BU100" s="484" t="s">
        <v>360</v>
      </c>
      <c r="BV100" s="50">
        <v>2020</v>
      </c>
      <c r="BW100" s="61"/>
      <c r="BX100" s="161"/>
      <c r="BY100" s="329">
        <v>0</v>
      </c>
      <c r="BZ100" s="57" t="s">
        <v>216</v>
      </c>
      <c r="CA100" s="392" t="s">
        <v>575</v>
      </c>
      <c r="CB100" s="63" t="s">
        <v>362</v>
      </c>
      <c r="CC100" s="41" t="s">
        <v>269</v>
      </c>
      <c r="CD100" s="52">
        <v>68</v>
      </c>
      <c r="CE100" s="35" t="s">
        <v>116</v>
      </c>
      <c r="CF100" s="35"/>
      <c r="CG100" s="379"/>
      <c r="CH100" s="35"/>
      <c r="CI100" s="135"/>
      <c r="CJ100" s="35" t="s">
        <v>216</v>
      </c>
      <c r="CK100" s="55" t="s">
        <v>216</v>
      </c>
      <c r="CL100" s="65"/>
      <c r="CM100" s="66"/>
      <c r="CN100" s="65"/>
      <c r="CO100" s="84"/>
      <c r="CP100" s="55" t="s">
        <v>216</v>
      </c>
      <c r="CQ100" s="65"/>
      <c r="CR100" s="66"/>
      <c r="CS100" s="65"/>
      <c r="CT100" s="84"/>
      <c r="CU100" s="69" t="s">
        <v>116</v>
      </c>
      <c r="CV100" s="70" t="s">
        <v>57</v>
      </c>
      <c r="CW100" s="67">
        <v>6</v>
      </c>
      <c r="CX100" s="68">
        <v>2027</v>
      </c>
      <c r="CY100" s="67">
        <v>3</v>
      </c>
      <c r="CZ100" s="68">
        <v>2027</v>
      </c>
      <c r="DA100" s="67">
        <v>12</v>
      </c>
      <c r="DB100" s="68">
        <v>2026</v>
      </c>
      <c r="DC100" s="71" t="s">
        <v>216</v>
      </c>
      <c r="DD100" s="72" t="s">
        <v>207</v>
      </c>
      <c r="DE100" s="72"/>
      <c r="DF100" s="52">
        <v>660</v>
      </c>
      <c r="DG100" s="52">
        <v>559</v>
      </c>
      <c r="DH100" s="52">
        <v>42</v>
      </c>
      <c r="DI100" s="52" t="s">
        <v>406</v>
      </c>
      <c r="DJ100" s="52"/>
      <c r="DK100" s="52"/>
      <c r="DL100" s="57" t="s">
        <v>217</v>
      </c>
      <c r="DM100" s="65" t="s">
        <v>209</v>
      </c>
      <c r="DN100" s="36">
        <v>2012</v>
      </c>
      <c r="DO100" s="35" t="s">
        <v>268</v>
      </c>
      <c r="DP100" s="73">
        <v>6</v>
      </c>
      <c r="DQ100" s="36">
        <v>2013</v>
      </c>
      <c r="DR100" s="84"/>
      <c r="DS100" s="85"/>
      <c r="DT100" s="86"/>
      <c r="DU100" s="76"/>
      <c r="DV100" s="91"/>
      <c r="DW100" s="37" t="s">
        <v>468</v>
      </c>
      <c r="DX100" s="391" t="s">
        <v>125</v>
      </c>
      <c r="DY100" s="37" t="s">
        <v>136</v>
      </c>
      <c r="DZ100" s="184" t="s">
        <v>342</v>
      </c>
      <c r="EA100" s="49" t="s">
        <v>360</v>
      </c>
      <c r="EB100" s="179" t="s">
        <v>349</v>
      </c>
      <c r="EC100" s="49" t="s">
        <v>360</v>
      </c>
      <c r="ED100" s="77">
        <v>2012</v>
      </c>
      <c r="EE100" s="49">
        <v>0</v>
      </c>
      <c r="EF100" s="78" t="s">
        <v>216</v>
      </c>
      <c r="EG100" s="184" t="s">
        <v>342</v>
      </c>
      <c r="EH100" s="49" t="s">
        <v>360</v>
      </c>
      <c r="EI100" s="179" t="s">
        <v>349</v>
      </c>
      <c r="EJ100" s="49" t="s">
        <v>360</v>
      </c>
      <c r="EK100" s="77">
        <v>2012</v>
      </c>
      <c r="EL100" s="35"/>
      <c r="EM100" s="55" t="s">
        <v>216</v>
      </c>
      <c r="EN100" s="79" t="s">
        <v>116</v>
      </c>
      <c r="EO100" s="91"/>
      <c r="EP100" s="80"/>
      <c r="EQ100" s="80"/>
      <c r="ER100" s="80"/>
      <c r="ES100" s="80"/>
      <c r="ET100" s="80"/>
      <c r="EU100" s="80"/>
      <c r="EV100" s="80"/>
      <c r="EW100" s="80"/>
      <c r="EX100" s="80"/>
      <c r="EY100" s="80"/>
      <c r="EZ100" s="80"/>
      <c r="FA100" s="80"/>
      <c r="FB100" s="80"/>
      <c r="FC100" s="80"/>
      <c r="FD100" s="80"/>
      <c r="FE100" s="80"/>
      <c r="FF100" s="80"/>
      <c r="FG100" s="80"/>
      <c r="FH100" s="80"/>
      <c r="FI100" s="80"/>
      <c r="FJ100" s="80"/>
      <c r="FK100" s="80"/>
      <c r="FL100" s="80"/>
      <c r="FM100" s="80"/>
    </row>
    <row r="101" spans="1:174" s="238" customFormat="1" ht="11.25" customHeight="1" x14ac:dyDescent="0.2">
      <c r="A101" s="101">
        <v>658</v>
      </c>
      <c r="B101" s="517">
        <v>48</v>
      </c>
      <c r="C101" s="272"/>
      <c r="D101" s="272" t="s">
        <v>144</v>
      </c>
      <c r="E101" s="320" t="s">
        <v>83</v>
      </c>
      <c r="F101" s="272" t="s">
        <v>381</v>
      </c>
      <c r="G101" s="637" t="s">
        <v>17</v>
      </c>
      <c r="H101" s="638" t="s">
        <v>360</v>
      </c>
      <c r="I101" s="637" t="s">
        <v>349</v>
      </c>
      <c r="J101" s="638" t="s">
        <v>360</v>
      </c>
      <c r="K101" s="273" t="s">
        <v>334</v>
      </c>
      <c r="L101" s="284" t="s">
        <v>452</v>
      </c>
      <c r="M101" s="277" t="s">
        <v>457</v>
      </c>
      <c r="N101" s="501"/>
      <c r="O101" s="639" t="e">
        <v>#N/A</v>
      </c>
      <c r="P101" s="273"/>
      <c r="Q101" s="399" t="e">
        <v>#N/A</v>
      </c>
      <c r="R101" s="313" t="s">
        <v>563</v>
      </c>
      <c r="S101" s="273" t="s">
        <v>557</v>
      </c>
      <c r="T101" s="275" t="s">
        <v>105</v>
      </c>
      <c r="U101" s="276" t="s">
        <v>216</v>
      </c>
      <c r="V101" s="300" t="s">
        <v>424</v>
      </c>
      <c r="W101" s="401" t="s">
        <v>430</v>
      </c>
      <c r="X101" s="300" t="s">
        <v>426</v>
      </c>
      <c r="Y101" s="406" t="s">
        <v>430</v>
      </c>
      <c r="Z101" s="402" t="s">
        <v>426</v>
      </c>
      <c r="AA101" s="277" t="s">
        <v>410</v>
      </c>
      <c r="AB101" s="278">
        <v>4</v>
      </c>
      <c r="AC101" s="496" t="s">
        <v>360</v>
      </c>
      <c r="AD101" s="279">
        <v>9</v>
      </c>
      <c r="AE101" s="280">
        <v>3.33</v>
      </c>
      <c r="AF101" s="467"/>
      <c r="AG101" s="467"/>
      <c r="AH101" s="502" t="s">
        <v>342</v>
      </c>
      <c r="AI101" s="493" t="s">
        <v>360</v>
      </c>
      <c r="AJ101" s="282" t="s">
        <v>349</v>
      </c>
      <c r="AK101" s="493" t="s">
        <v>360</v>
      </c>
      <c r="AL101" s="503">
        <v>2015</v>
      </c>
      <c r="AM101" s="291">
        <v>4</v>
      </c>
      <c r="AN101" s="292" t="s">
        <v>596</v>
      </c>
      <c r="AO101" s="281">
        <v>5</v>
      </c>
      <c r="AP101" s="491" t="s">
        <v>360</v>
      </c>
      <c r="AQ101" s="283">
        <v>9</v>
      </c>
      <c r="AR101" s="284">
        <v>3.66</v>
      </c>
      <c r="AS101" s="414"/>
      <c r="AT101" s="285" t="s">
        <v>342</v>
      </c>
      <c r="AU101" s="510" t="s">
        <v>360</v>
      </c>
      <c r="AV101" s="287" t="s">
        <v>349</v>
      </c>
      <c r="AW101" s="488" t="s">
        <v>360</v>
      </c>
      <c r="AX101" s="522">
        <v>2018</v>
      </c>
      <c r="AY101" s="522"/>
      <c r="AZ101" s="689"/>
      <c r="BA101" s="481"/>
      <c r="BB101" s="290">
        <v>3</v>
      </c>
      <c r="BC101" s="403">
        <v>20</v>
      </c>
      <c r="BD101" s="280">
        <v>2.34</v>
      </c>
      <c r="BE101" s="280">
        <v>0.33</v>
      </c>
      <c r="BF101" s="293" t="s">
        <v>411</v>
      </c>
      <c r="BG101" s="294">
        <v>13</v>
      </c>
      <c r="BH101" s="425" t="s">
        <v>333</v>
      </c>
      <c r="BI101" s="504" t="s">
        <v>342</v>
      </c>
      <c r="BJ101" s="1273" t="s">
        <v>360</v>
      </c>
      <c r="BK101" s="421">
        <v>9</v>
      </c>
      <c r="BL101" s="488" t="s">
        <v>360</v>
      </c>
      <c r="BM101" s="288">
        <v>2019</v>
      </c>
      <c r="BN101" s="291"/>
      <c r="BO101" s="297"/>
      <c r="BP101" s="295">
        <v>14</v>
      </c>
      <c r="BQ101" s="505" t="s">
        <v>333</v>
      </c>
      <c r="BR101" s="504" t="s">
        <v>342</v>
      </c>
      <c r="BS101" s="488" t="s">
        <v>360</v>
      </c>
      <c r="BT101" s="421">
        <v>9</v>
      </c>
      <c r="BU101" s="488" t="s">
        <v>360</v>
      </c>
      <c r="BV101" s="50">
        <v>2020</v>
      </c>
      <c r="BW101" s="296"/>
      <c r="BX101" s="289"/>
      <c r="BY101" s="404">
        <v>0</v>
      </c>
      <c r="BZ101" s="293" t="s">
        <v>216</v>
      </c>
      <c r="CA101" s="273" t="s">
        <v>577</v>
      </c>
      <c r="CB101" s="298" t="s">
        <v>362</v>
      </c>
      <c r="CC101" s="299" t="s">
        <v>269</v>
      </c>
      <c r="CD101" s="277">
        <v>49</v>
      </c>
      <c r="CE101" s="272" t="s">
        <v>116</v>
      </c>
      <c r="CF101" s="272"/>
      <c r="CG101" s="383"/>
      <c r="CH101" s="272"/>
      <c r="CI101" s="405"/>
      <c r="CJ101" s="272" t="s">
        <v>216</v>
      </c>
      <c r="CK101" s="301" t="s">
        <v>216</v>
      </c>
      <c r="CL101" s="302"/>
      <c r="CM101" s="303"/>
      <c r="CN101" s="302"/>
      <c r="CO101" s="304"/>
      <c r="CP101" s="301" t="s">
        <v>216</v>
      </c>
      <c r="CQ101" s="302"/>
      <c r="CR101" s="303"/>
      <c r="CS101" s="302"/>
      <c r="CT101" s="304"/>
      <c r="CU101" s="305" t="s">
        <v>116</v>
      </c>
      <c r="CV101" s="306" t="s">
        <v>57</v>
      </c>
      <c r="CW101" s="307">
        <v>10</v>
      </c>
      <c r="CX101" s="308">
        <v>2038</v>
      </c>
      <c r="CY101" s="307">
        <v>7</v>
      </c>
      <c r="CZ101" s="308">
        <v>2038</v>
      </c>
      <c r="DA101" s="307">
        <v>4</v>
      </c>
      <c r="DB101" s="308">
        <v>2038</v>
      </c>
      <c r="DC101" s="309" t="s">
        <v>216</v>
      </c>
      <c r="DD101" s="310" t="s">
        <v>207</v>
      </c>
      <c r="DE101" s="310"/>
      <c r="DF101" s="277">
        <v>660</v>
      </c>
      <c r="DG101" s="277">
        <v>423</v>
      </c>
      <c r="DH101" s="277">
        <v>31</v>
      </c>
      <c r="DI101" s="277" t="s">
        <v>404</v>
      </c>
      <c r="DJ101" s="277"/>
      <c r="DK101" s="277"/>
      <c r="DL101" s="293" t="s">
        <v>217</v>
      </c>
      <c r="DM101" s="302" t="s">
        <v>209</v>
      </c>
      <c r="DN101" s="274">
        <v>2012</v>
      </c>
      <c r="DO101" s="272"/>
      <c r="DP101" s="311"/>
      <c r="DQ101" s="274"/>
      <c r="DR101" s="304"/>
      <c r="DS101" s="312"/>
      <c r="DT101" s="313"/>
      <c r="DU101" s="314"/>
      <c r="DV101" s="318"/>
      <c r="DW101" s="321" t="s">
        <v>82</v>
      </c>
      <c r="DX101" s="400" t="s">
        <v>416</v>
      </c>
      <c r="DY101" s="321" t="s">
        <v>82</v>
      </c>
      <c r="DZ101" s="515" t="s">
        <v>342</v>
      </c>
      <c r="EA101" s="287" t="s">
        <v>360</v>
      </c>
      <c r="EB101" s="286" t="s">
        <v>349</v>
      </c>
      <c r="EC101" s="287" t="s">
        <v>360</v>
      </c>
      <c r="ED101" s="315">
        <v>2012</v>
      </c>
      <c r="EE101" s="287">
        <v>0</v>
      </c>
      <c r="EF101" s="316" t="s">
        <v>216</v>
      </c>
      <c r="EG101" s="515" t="s">
        <v>342</v>
      </c>
      <c r="EH101" s="287" t="s">
        <v>360</v>
      </c>
      <c r="EI101" s="286" t="s">
        <v>349</v>
      </c>
      <c r="EJ101" s="287" t="s">
        <v>360</v>
      </c>
      <c r="EK101" s="315">
        <v>2012</v>
      </c>
      <c r="EL101" s="272"/>
      <c r="EM101" s="301" t="s">
        <v>216</v>
      </c>
      <c r="EN101" s="317" t="s">
        <v>116</v>
      </c>
      <c r="EO101" s="318"/>
      <c r="EP101" s="319"/>
      <c r="EQ101" s="319"/>
      <c r="ER101" s="319"/>
      <c r="ES101" s="319"/>
      <c r="ET101" s="319"/>
      <c r="EU101" s="319"/>
      <c r="EV101" s="319"/>
      <c r="EW101" s="319"/>
      <c r="EX101" s="319"/>
      <c r="EY101" s="319"/>
      <c r="EZ101" s="319"/>
      <c r="FA101" s="319"/>
      <c r="FB101" s="319"/>
      <c r="FC101" s="319"/>
      <c r="FD101" s="319"/>
      <c r="FE101" s="319"/>
      <c r="FF101" s="319"/>
      <c r="FG101" s="319"/>
      <c r="FH101" s="319"/>
      <c r="FI101" s="319"/>
      <c r="FJ101" s="319"/>
      <c r="FK101" s="319"/>
      <c r="FL101" s="319"/>
      <c r="FM101" s="319"/>
      <c r="FN101" s="319"/>
      <c r="FO101" s="319"/>
      <c r="FP101" s="319"/>
      <c r="FQ101" s="319"/>
      <c r="FR101" s="319"/>
    </row>
    <row r="102" spans="1:174" s="238" customFormat="1" ht="11.25" customHeight="1" x14ac:dyDescent="0.2">
      <c r="A102" s="101">
        <v>675</v>
      </c>
      <c r="B102" s="517">
        <v>49</v>
      </c>
      <c r="C102" s="35"/>
      <c r="D102" s="35" t="s">
        <v>144</v>
      </c>
      <c r="E102" s="40" t="s">
        <v>8</v>
      </c>
      <c r="F102" s="35" t="s">
        <v>381</v>
      </c>
      <c r="G102" s="64" t="s">
        <v>274</v>
      </c>
      <c r="H102" s="620" t="s">
        <v>360</v>
      </c>
      <c r="I102" s="64" t="s">
        <v>377</v>
      </c>
      <c r="J102" s="620" t="s">
        <v>360</v>
      </c>
      <c r="K102" s="40" t="s">
        <v>309</v>
      </c>
      <c r="L102" s="193" t="s">
        <v>452</v>
      </c>
      <c r="M102" s="652" t="s">
        <v>457</v>
      </c>
      <c r="N102" s="199"/>
      <c r="O102" s="621" t="s">
        <v>104</v>
      </c>
      <c r="P102" s="40" t="s">
        <v>588</v>
      </c>
      <c r="Q102" s="371" t="s">
        <v>254</v>
      </c>
      <c r="R102" s="40" t="s">
        <v>9</v>
      </c>
      <c r="S102" s="263" t="s">
        <v>557</v>
      </c>
      <c r="T102" s="38" t="s">
        <v>105</v>
      </c>
      <c r="U102" s="39" t="s">
        <v>216</v>
      </c>
      <c r="V102" s="663" t="s">
        <v>424</v>
      </c>
      <c r="W102" s="370" t="s">
        <v>430</v>
      </c>
      <c r="X102" s="373" t="s">
        <v>426</v>
      </c>
      <c r="Y102" s="397" t="s">
        <v>430</v>
      </c>
      <c r="Z102" s="397" t="s">
        <v>426</v>
      </c>
      <c r="AA102" s="52" t="s">
        <v>410</v>
      </c>
      <c r="AB102" s="175">
        <v>5</v>
      </c>
      <c r="AC102" s="495" t="s">
        <v>360</v>
      </c>
      <c r="AD102" s="43">
        <v>9</v>
      </c>
      <c r="AE102" s="44">
        <v>3.66</v>
      </c>
      <c r="AF102" s="409"/>
      <c r="AG102" s="409"/>
      <c r="AH102" s="485" t="s">
        <v>342</v>
      </c>
      <c r="AI102" s="493" t="s">
        <v>360</v>
      </c>
      <c r="AJ102" s="109" t="s">
        <v>377</v>
      </c>
      <c r="AK102" s="493" t="s">
        <v>360</v>
      </c>
      <c r="AL102" s="494">
        <v>2015</v>
      </c>
      <c r="AM102" s="162"/>
      <c r="AN102" s="53"/>
      <c r="AO102" s="45">
        <v>6</v>
      </c>
      <c r="AP102" s="490" t="s">
        <v>360</v>
      </c>
      <c r="AQ102" s="87">
        <v>9</v>
      </c>
      <c r="AR102" s="47">
        <v>3.99</v>
      </c>
      <c r="AS102" s="413"/>
      <c r="AT102" s="48" t="s">
        <v>342</v>
      </c>
      <c r="AU102" s="492" t="s">
        <v>360</v>
      </c>
      <c r="AV102" s="49" t="s">
        <v>377</v>
      </c>
      <c r="AW102" s="484" t="s">
        <v>360</v>
      </c>
      <c r="AX102" s="159">
        <v>2018</v>
      </c>
      <c r="AY102" s="159"/>
      <c r="AZ102" s="475" t="s">
        <v>585</v>
      </c>
      <c r="BA102" s="480">
        <v>4.18</v>
      </c>
      <c r="BB102" s="51">
        <v>3</v>
      </c>
      <c r="BC102" s="328">
        <v>29</v>
      </c>
      <c r="BD102" s="280">
        <v>2.34</v>
      </c>
      <c r="BE102" s="280">
        <v>0.33</v>
      </c>
      <c r="BF102" s="57" t="s">
        <v>411</v>
      </c>
      <c r="BG102" s="58">
        <v>13</v>
      </c>
      <c r="BH102" s="424" t="s">
        <v>333</v>
      </c>
      <c r="BI102" s="60" t="s">
        <v>342</v>
      </c>
      <c r="BJ102" s="1272" t="s">
        <v>360</v>
      </c>
      <c r="BK102" s="422">
        <v>9</v>
      </c>
      <c r="BL102" s="489" t="s">
        <v>360</v>
      </c>
      <c r="BM102" s="245">
        <v>2019</v>
      </c>
      <c r="BN102" s="162"/>
      <c r="BO102" s="62"/>
      <c r="BP102" s="59">
        <v>14</v>
      </c>
      <c r="BQ102" s="429" t="s">
        <v>333</v>
      </c>
      <c r="BR102" s="60" t="s">
        <v>342</v>
      </c>
      <c r="BS102" s="484" t="s">
        <v>360</v>
      </c>
      <c r="BT102" s="420">
        <v>9</v>
      </c>
      <c r="BU102" s="484" t="s">
        <v>360</v>
      </c>
      <c r="BV102" s="50">
        <v>2020</v>
      </c>
      <c r="BW102" s="61"/>
      <c r="BX102" s="161"/>
      <c r="BY102" s="329">
        <v>0</v>
      </c>
      <c r="BZ102" s="57" t="s">
        <v>216</v>
      </c>
      <c r="CA102" s="392" t="s">
        <v>577</v>
      </c>
      <c r="CB102" s="63" t="s">
        <v>362</v>
      </c>
      <c r="CC102" s="41" t="s">
        <v>269</v>
      </c>
      <c r="CD102" s="52">
        <v>40</v>
      </c>
      <c r="CE102" s="35" t="s">
        <v>116</v>
      </c>
      <c r="CF102" s="35"/>
      <c r="CG102" s="379"/>
      <c r="CH102" s="35"/>
      <c r="CI102" s="135"/>
      <c r="CJ102" s="35" t="s">
        <v>216</v>
      </c>
      <c r="CK102" s="55" t="s">
        <v>216</v>
      </c>
      <c r="CL102" s="65"/>
      <c r="CM102" s="66"/>
      <c r="CN102" s="65"/>
      <c r="CO102" s="84"/>
      <c r="CP102" s="55" t="s">
        <v>216</v>
      </c>
      <c r="CQ102" s="65"/>
      <c r="CR102" s="66"/>
      <c r="CS102" s="65"/>
      <c r="CT102" s="84"/>
      <c r="CU102" s="69" t="s">
        <v>116</v>
      </c>
      <c r="CV102" s="70" t="s">
        <v>57</v>
      </c>
      <c r="CW102" s="67">
        <v>5</v>
      </c>
      <c r="CX102" s="68">
        <v>2035</v>
      </c>
      <c r="CY102" s="67">
        <v>2</v>
      </c>
      <c r="CZ102" s="68">
        <v>2035</v>
      </c>
      <c r="DA102" s="67">
        <v>11</v>
      </c>
      <c r="DB102" s="68">
        <v>2034</v>
      </c>
      <c r="DC102" s="71" t="s">
        <v>216</v>
      </c>
      <c r="DD102" s="72" t="s">
        <v>207</v>
      </c>
      <c r="DE102" s="72"/>
      <c r="DF102" s="52">
        <v>660</v>
      </c>
      <c r="DG102" s="52">
        <v>464</v>
      </c>
      <c r="DH102" s="52">
        <v>34</v>
      </c>
      <c r="DI102" s="52" t="s">
        <v>404</v>
      </c>
      <c r="DJ102" s="52"/>
      <c r="DK102" s="52"/>
      <c r="DL102" s="57" t="s">
        <v>217</v>
      </c>
      <c r="DM102" s="65" t="s">
        <v>218</v>
      </c>
      <c r="DN102" s="36"/>
      <c r="DO102" s="35"/>
      <c r="DP102" s="73"/>
      <c r="DQ102" s="36"/>
      <c r="DR102" s="84"/>
      <c r="DS102" s="85"/>
      <c r="DT102" s="86"/>
      <c r="DU102" s="76" t="s">
        <v>409</v>
      </c>
      <c r="DV102" s="91" t="s">
        <v>272</v>
      </c>
      <c r="DW102" s="37" t="s">
        <v>9</v>
      </c>
      <c r="DX102" s="391" t="s">
        <v>416</v>
      </c>
      <c r="DY102" s="37" t="s">
        <v>9</v>
      </c>
      <c r="DZ102" s="184" t="s">
        <v>342</v>
      </c>
      <c r="EA102" s="49" t="s">
        <v>360</v>
      </c>
      <c r="EB102" s="179" t="s">
        <v>377</v>
      </c>
      <c r="EC102" s="49" t="s">
        <v>360</v>
      </c>
      <c r="ED102" s="77">
        <v>2012</v>
      </c>
      <c r="EE102" s="49">
        <v>0</v>
      </c>
      <c r="EF102" s="78" t="s">
        <v>216</v>
      </c>
      <c r="EG102" s="184" t="s">
        <v>342</v>
      </c>
      <c r="EH102" s="49" t="s">
        <v>360</v>
      </c>
      <c r="EI102" s="179" t="s">
        <v>377</v>
      </c>
      <c r="EJ102" s="49" t="s">
        <v>360</v>
      </c>
      <c r="EK102" s="77">
        <v>2012</v>
      </c>
      <c r="EL102" s="35"/>
      <c r="EM102" s="55" t="s">
        <v>216</v>
      </c>
      <c r="EN102" s="79" t="s">
        <v>116</v>
      </c>
      <c r="EO102" s="91"/>
      <c r="EP102" s="80"/>
      <c r="EQ102" s="80"/>
      <c r="ER102" s="80"/>
      <c r="ES102" s="80"/>
      <c r="ET102" s="80"/>
      <c r="EU102" s="80"/>
      <c r="EV102" s="80"/>
      <c r="EW102" s="80"/>
      <c r="EX102" s="80"/>
      <c r="EY102" s="80"/>
      <c r="EZ102" s="80"/>
      <c r="FA102" s="80"/>
      <c r="FB102" s="80"/>
      <c r="FC102" s="80"/>
      <c r="FD102" s="80"/>
      <c r="FE102" s="80"/>
      <c r="FF102" s="80"/>
      <c r="FG102" s="80"/>
      <c r="FH102" s="80"/>
      <c r="FI102" s="80"/>
      <c r="FJ102" s="80"/>
      <c r="FK102" s="80"/>
      <c r="FL102" s="80"/>
      <c r="FM102" s="80"/>
    </row>
    <row r="103" spans="1:174" s="238" customFormat="1" ht="11.25" customHeight="1" x14ac:dyDescent="0.2">
      <c r="A103" s="101">
        <v>681</v>
      </c>
      <c r="B103" s="517">
        <v>50</v>
      </c>
      <c r="C103" s="35"/>
      <c r="D103" s="35" t="s">
        <v>144</v>
      </c>
      <c r="E103" s="40" t="s">
        <v>335</v>
      </c>
      <c r="F103" s="35" t="s">
        <v>381</v>
      </c>
      <c r="G103" s="64" t="s">
        <v>375</v>
      </c>
      <c r="H103" s="620" t="s">
        <v>360</v>
      </c>
      <c r="I103" s="64" t="s">
        <v>373</v>
      </c>
      <c r="J103" s="620" t="s">
        <v>360</v>
      </c>
      <c r="K103" s="40">
        <v>1976</v>
      </c>
      <c r="L103" s="193" t="s">
        <v>452</v>
      </c>
      <c r="M103" s="652" t="s">
        <v>457</v>
      </c>
      <c r="N103" s="199"/>
      <c r="O103" s="621" t="e">
        <v>#N/A</v>
      </c>
      <c r="P103" s="40"/>
      <c r="Q103" s="371" t="e">
        <v>#N/A</v>
      </c>
      <c r="R103" s="40" t="s">
        <v>610</v>
      </c>
      <c r="S103" s="263" t="s">
        <v>557</v>
      </c>
      <c r="T103" s="38" t="s">
        <v>105</v>
      </c>
      <c r="U103" s="39" t="s">
        <v>216</v>
      </c>
      <c r="V103" s="663" t="s">
        <v>424</v>
      </c>
      <c r="W103" s="370" t="s">
        <v>430</v>
      </c>
      <c r="X103" s="373" t="s">
        <v>426</v>
      </c>
      <c r="Y103" s="397" t="s">
        <v>430</v>
      </c>
      <c r="Z103" s="397" t="s">
        <v>426</v>
      </c>
      <c r="AA103" s="52" t="s">
        <v>410</v>
      </c>
      <c r="AB103" s="175">
        <v>5</v>
      </c>
      <c r="AC103" s="495" t="s">
        <v>360</v>
      </c>
      <c r="AD103" s="43">
        <v>9</v>
      </c>
      <c r="AE103" s="44">
        <v>3.66</v>
      </c>
      <c r="AF103" s="409"/>
      <c r="AG103" s="409"/>
      <c r="AH103" s="485" t="s">
        <v>342</v>
      </c>
      <c r="AI103" s="493" t="s">
        <v>360</v>
      </c>
      <c r="AJ103" s="109" t="s">
        <v>349</v>
      </c>
      <c r="AK103" s="493" t="s">
        <v>360</v>
      </c>
      <c r="AL103" s="494">
        <v>2015</v>
      </c>
      <c r="AM103" s="162"/>
      <c r="AN103" s="53"/>
      <c r="AO103" s="45">
        <v>6</v>
      </c>
      <c r="AP103" s="490" t="s">
        <v>360</v>
      </c>
      <c r="AQ103" s="87">
        <v>9</v>
      </c>
      <c r="AR103" s="47">
        <v>3.99</v>
      </c>
      <c r="AS103" s="413"/>
      <c r="AT103" s="48" t="s">
        <v>342</v>
      </c>
      <c r="AU103" s="492" t="s">
        <v>360</v>
      </c>
      <c r="AV103" s="49" t="s">
        <v>349</v>
      </c>
      <c r="AW103" s="484" t="s">
        <v>360</v>
      </c>
      <c r="AX103" s="159">
        <v>2018</v>
      </c>
      <c r="AY103" s="159"/>
      <c r="AZ103" s="475"/>
      <c r="BA103" s="480"/>
      <c r="BB103" s="51">
        <v>3</v>
      </c>
      <c r="BC103" s="328">
        <v>24</v>
      </c>
      <c r="BD103" s="280">
        <v>2.34</v>
      </c>
      <c r="BE103" s="280">
        <v>0.33</v>
      </c>
      <c r="BF103" s="57" t="s">
        <v>411</v>
      </c>
      <c r="BG103" s="58">
        <v>16</v>
      </c>
      <c r="BH103" s="424" t="s">
        <v>333</v>
      </c>
      <c r="BI103" s="60" t="s">
        <v>342</v>
      </c>
      <c r="BJ103" s="1272" t="s">
        <v>360</v>
      </c>
      <c r="BK103" s="422">
        <v>9</v>
      </c>
      <c r="BL103" s="489" t="s">
        <v>360</v>
      </c>
      <c r="BM103" s="245">
        <v>2019</v>
      </c>
      <c r="BN103" s="162"/>
      <c r="BO103" s="62"/>
      <c r="BP103" s="59">
        <v>17</v>
      </c>
      <c r="BQ103" s="429" t="s">
        <v>333</v>
      </c>
      <c r="BR103" s="60" t="s">
        <v>342</v>
      </c>
      <c r="BS103" s="484" t="s">
        <v>360</v>
      </c>
      <c r="BT103" s="420">
        <v>9</v>
      </c>
      <c r="BU103" s="484" t="s">
        <v>360</v>
      </c>
      <c r="BV103" s="50">
        <v>2020</v>
      </c>
      <c r="BW103" s="61"/>
      <c r="BX103" s="161"/>
      <c r="BY103" s="329">
        <v>0</v>
      </c>
      <c r="BZ103" s="57" t="s">
        <v>216</v>
      </c>
      <c r="CA103" s="392" t="s">
        <v>577</v>
      </c>
      <c r="CB103" s="63" t="s">
        <v>362</v>
      </c>
      <c r="CC103" s="41" t="s">
        <v>269</v>
      </c>
      <c r="CD103" s="52">
        <v>45</v>
      </c>
      <c r="CE103" s="35" t="s">
        <v>116</v>
      </c>
      <c r="CF103" s="35"/>
      <c r="CG103" s="379"/>
      <c r="CH103" s="35"/>
      <c r="CI103" s="135"/>
      <c r="CJ103" s="35" t="s">
        <v>216</v>
      </c>
      <c r="CK103" s="55" t="s">
        <v>216</v>
      </c>
      <c r="CL103" s="65"/>
      <c r="CM103" s="66"/>
      <c r="CN103" s="65"/>
      <c r="CO103" s="84"/>
      <c r="CP103" s="55" t="s">
        <v>268</v>
      </c>
      <c r="CQ103" s="65">
        <v>6</v>
      </c>
      <c r="CR103" s="66">
        <v>2013</v>
      </c>
      <c r="CS103" s="65"/>
      <c r="CT103" s="84"/>
      <c r="CU103" s="69" t="s">
        <v>116</v>
      </c>
      <c r="CV103" s="70" t="s">
        <v>57</v>
      </c>
      <c r="CW103" s="67">
        <v>12</v>
      </c>
      <c r="CX103" s="68">
        <v>2031</v>
      </c>
      <c r="CY103" s="67">
        <v>9</v>
      </c>
      <c r="CZ103" s="68">
        <v>2031</v>
      </c>
      <c r="DA103" s="67">
        <v>6</v>
      </c>
      <c r="DB103" s="68">
        <v>2031</v>
      </c>
      <c r="DC103" s="71" t="s">
        <v>216</v>
      </c>
      <c r="DD103" s="72" t="s">
        <v>207</v>
      </c>
      <c r="DE103" s="72"/>
      <c r="DF103" s="52">
        <v>660</v>
      </c>
      <c r="DG103" s="52">
        <v>505</v>
      </c>
      <c r="DH103" s="52">
        <v>38</v>
      </c>
      <c r="DI103" s="52" t="s">
        <v>404</v>
      </c>
      <c r="DJ103" s="52"/>
      <c r="DK103" s="52"/>
      <c r="DL103" s="57" t="s">
        <v>217</v>
      </c>
      <c r="DM103" s="65" t="s">
        <v>218</v>
      </c>
      <c r="DN103" s="36"/>
      <c r="DO103" s="35" t="s">
        <v>268</v>
      </c>
      <c r="DP103" s="73">
        <v>6</v>
      </c>
      <c r="DQ103" s="36">
        <v>2013</v>
      </c>
      <c r="DR103" s="84"/>
      <c r="DS103" s="85"/>
      <c r="DT103" s="86"/>
      <c r="DU103" s="76"/>
      <c r="DV103" s="91"/>
      <c r="DW103" s="37" t="s">
        <v>74</v>
      </c>
      <c r="DX103" s="391" t="s">
        <v>416</v>
      </c>
      <c r="DY103" s="37" t="s">
        <v>74</v>
      </c>
      <c r="DZ103" s="184" t="s">
        <v>342</v>
      </c>
      <c r="EA103" s="49" t="s">
        <v>360</v>
      </c>
      <c r="EB103" s="179" t="s">
        <v>342</v>
      </c>
      <c r="EC103" s="49" t="s">
        <v>360</v>
      </c>
      <c r="ED103" s="77" t="s">
        <v>378</v>
      </c>
      <c r="EE103" s="49">
        <v>0</v>
      </c>
      <c r="EF103" s="78" t="s">
        <v>216</v>
      </c>
      <c r="EG103" s="184" t="s">
        <v>342</v>
      </c>
      <c r="EH103" s="49" t="s">
        <v>360</v>
      </c>
      <c r="EI103" s="179" t="s">
        <v>342</v>
      </c>
      <c r="EJ103" s="49" t="s">
        <v>360</v>
      </c>
      <c r="EK103" s="77" t="s">
        <v>378</v>
      </c>
      <c r="EL103" s="35"/>
      <c r="EM103" s="55" t="s">
        <v>216</v>
      </c>
      <c r="EN103" s="79" t="s">
        <v>116</v>
      </c>
      <c r="EO103" s="91"/>
      <c r="EP103" s="80"/>
      <c r="EQ103" s="80"/>
      <c r="ER103" s="80"/>
      <c r="ES103" s="80"/>
      <c r="ET103" s="80"/>
      <c r="EU103" s="80"/>
      <c r="EV103" s="80"/>
      <c r="EW103" s="80"/>
      <c r="EX103" s="80"/>
      <c r="EY103" s="80"/>
      <c r="EZ103" s="80"/>
      <c r="FA103" s="80"/>
      <c r="FB103" s="80"/>
      <c r="FC103" s="80"/>
      <c r="FD103" s="80"/>
      <c r="FE103" s="80"/>
      <c r="FF103" s="80"/>
      <c r="FG103" s="80"/>
      <c r="FH103" s="80"/>
      <c r="FI103" s="80"/>
      <c r="FJ103" s="80"/>
      <c r="FK103" s="80"/>
      <c r="FL103" s="80"/>
      <c r="FM103" s="80"/>
      <c r="FN103" s="80"/>
      <c r="FO103" s="80"/>
      <c r="FP103" s="80"/>
      <c r="FQ103" s="80"/>
      <c r="FR103" s="80"/>
    </row>
    <row r="104" spans="1:174" s="238" customFormat="1" ht="16.5" customHeight="1" x14ac:dyDescent="0.2">
      <c r="A104" s="101">
        <v>704</v>
      </c>
      <c r="B104" s="517">
        <v>51</v>
      </c>
      <c r="C104" s="35"/>
      <c r="D104" s="35" t="s">
        <v>144</v>
      </c>
      <c r="E104" s="40" t="s">
        <v>87</v>
      </c>
      <c r="F104" s="35" t="s">
        <v>381</v>
      </c>
      <c r="G104" s="64" t="s">
        <v>287</v>
      </c>
      <c r="H104" s="620" t="s">
        <v>360</v>
      </c>
      <c r="I104" s="64" t="s">
        <v>350</v>
      </c>
      <c r="J104" s="620" t="s">
        <v>360</v>
      </c>
      <c r="K104" s="40">
        <v>1970</v>
      </c>
      <c r="L104" s="193" t="s">
        <v>452</v>
      </c>
      <c r="M104" s="652" t="s">
        <v>457</v>
      </c>
      <c r="N104" s="199"/>
      <c r="O104" s="621" t="s">
        <v>104</v>
      </c>
      <c r="P104" s="40" t="s">
        <v>256</v>
      </c>
      <c r="Q104" s="371" t="s">
        <v>254</v>
      </c>
      <c r="R104" s="40" t="s">
        <v>570</v>
      </c>
      <c r="S104" s="263" t="s">
        <v>557</v>
      </c>
      <c r="T104" s="38" t="s">
        <v>302</v>
      </c>
      <c r="U104" s="39" t="s">
        <v>303</v>
      </c>
      <c r="V104" s="663" t="s">
        <v>424</v>
      </c>
      <c r="W104" s="370" t="s">
        <v>431</v>
      </c>
      <c r="X104" s="373" t="s">
        <v>428</v>
      </c>
      <c r="Y104" s="397" t="s">
        <v>431</v>
      </c>
      <c r="Z104" s="397" t="s">
        <v>428</v>
      </c>
      <c r="AA104" s="52" t="s">
        <v>410</v>
      </c>
      <c r="AB104" s="175">
        <v>3</v>
      </c>
      <c r="AC104" s="495" t="s">
        <v>360</v>
      </c>
      <c r="AD104" s="43">
        <v>8</v>
      </c>
      <c r="AE104" s="44">
        <v>5.08</v>
      </c>
      <c r="AF104" s="409"/>
      <c r="AG104" s="409"/>
      <c r="AH104" s="485"/>
      <c r="AI104" s="493" t="s">
        <v>360</v>
      </c>
      <c r="AJ104" s="109"/>
      <c r="AK104" s="493" t="s">
        <v>360</v>
      </c>
      <c r="AL104" s="494"/>
      <c r="AM104" s="162"/>
      <c r="AN104" s="53"/>
      <c r="AO104" s="45">
        <v>4</v>
      </c>
      <c r="AP104" s="490" t="s">
        <v>360</v>
      </c>
      <c r="AQ104" s="87">
        <v>8</v>
      </c>
      <c r="AR104" s="47">
        <v>5.42</v>
      </c>
      <c r="AS104" s="413"/>
      <c r="AT104" s="48" t="s">
        <v>342</v>
      </c>
      <c r="AU104" s="492" t="s">
        <v>360</v>
      </c>
      <c r="AV104" s="49" t="s">
        <v>349</v>
      </c>
      <c r="AW104" s="484" t="s">
        <v>360</v>
      </c>
      <c r="AX104" s="159">
        <v>2018</v>
      </c>
      <c r="AY104" s="159"/>
      <c r="AZ104" s="475" t="s">
        <v>581</v>
      </c>
      <c r="BA104" s="480"/>
      <c r="BB104" s="51">
        <v>3</v>
      </c>
      <c r="BC104" s="328">
        <v>24</v>
      </c>
      <c r="BD104" s="280">
        <v>4.4000000000000004</v>
      </c>
      <c r="BE104" s="280">
        <v>0.34</v>
      </c>
      <c r="BF104" s="57" t="s">
        <v>411</v>
      </c>
      <c r="BG104" s="58">
        <v>19</v>
      </c>
      <c r="BH104" s="424" t="s">
        <v>333</v>
      </c>
      <c r="BI104" s="60" t="s">
        <v>342</v>
      </c>
      <c r="BJ104" s="1272" t="s">
        <v>360</v>
      </c>
      <c r="BK104" s="422">
        <v>9</v>
      </c>
      <c r="BL104" s="489" t="s">
        <v>360</v>
      </c>
      <c r="BM104" s="245">
        <v>2019</v>
      </c>
      <c r="BN104" s="162"/>
      <c r="BO104" s="62"/>
      <c r="BP104" s="59">
        <v>20</v>
      </c>
      <c r="BQ104" s="429" t="s">
        <v>333</v>
      </c>
      <c r="BR104" s="60" t="s">
        <v>342</v>
      </c>
      <c r="BS104" s="484" t="s">
        <v>360</v>
      </c>
      <c r="BT104" s="420">
        <v>9</v>
      </c>
      <c r="BU104" s="484" t="s">
        <v>360</v>
      </c>
      <c r="BV104" s="50">
        <v>2020</v>
      </c>
      <c r="BW104" s="61"/>
      <c r="BX104" s="161"/>
      <c r="BY104" s="329">
        <v>0</v>
      </c>
      <c r="BZ104" s="57" t="s">
        <v>216</v>
      </c>
      <c r="CA104" s="392" t="s">
        <v>577</v>
      </c>
      <c r="CB104" s="63" t="s">
        <v>362</v>
      </c>
      <c r="CC104" s="41" t="s">
        <v>269</v>
      </c>
      <c r="CD104" s="52">
        <v>45</v>
      </c>
      <c r="CE104" s="35" t="s">
        <v>304</v>
      </c>
      <c r="CF104" s="35">
        <v>2013</v>
      </c>
      <c r="CG104" s="379" t="s">
        <v>428</v>
      </c>
      <c r="CH104" s="35"/>
      <c r="CI104" s="135"/>
      <c r="CJ104" s="35" t="s">
        <v>270</v>
      </c>
      <c r="CK104" s="55" t="s">
        <v>231</v>
      </c>
      <c r="CL104" s="65">
        <v>1</v>
      </c>
      <c r="CM104" s="66" t="s">
        <v>364</v>
      </c>
      <c r="CN104" s="65"/>
      <c r="CO104" s="84"/>
      <c r="CP104" s="55" t="s">
        <v>216</v>
      </c>
      <c r="CQ104" s="65"/>
      <c r="CR104" s="66"/>
      <c r="CS104" s="65"/>
      <c r="CT104" s="84"/>
      <c r="CU104" s="69" t="s">
        <v>116</v>
      </c>
      <c r="CV104" s="70" t="s">
        <v>57</v>
      </c>
      <c r="CW104" s="67">
        <v>1</v>
      </c>
      <c r="CX104" s="68">
        <v>2026</v>
      </c>
      <c r="CY104" s="67">
        <v>10</v>
      </c>
      <c r="CZ104" s="68">
        <v>2025</v>
      </c>
      <c r="DA104" s="67">
        <v>7</v>
      </c>
      <c r="DB104" s="68">
        <v>2025</v>
      </c>
      <c r="DC104" s="71" t="s">
        <v>216</v>
      </c>
      <c r="DD104" s="72" t="s">
        <v>207</v>
      </c>
      <c r="DE104" s="72"/>
      <c r="DF104" s="52">
        <v>660</v>
      </c>
      <c r="DG104" s="52">
        <v>576</v>
      </c>
      <c r="DH104" s="52">
        <v>44</v>
      </c>
      <c r="DI104" s="52" t="s">
        <v>406</v>
      </c>
      <c r="DJ104" s="52"/>
      <c r="DK104" s="52"/>
      <c r="DL104" s="57" t="s">
        <v>217</v>
      </c>
      <c r="DM104" s="65" t="s">
        <v>218</v>
      </c>
      <c r="DN104" s="36"/>
      <c r="DO104" s="35"/>
      <c r="DP104" s="73"/>
      <c r="DQ104" s="36"/>
      <c r="DR104" s="84"/>
      <c r="DS104" s="85"/>
      <c r="DT104" s="86"/>
      <c r="DU104" s="76"/>
      <c r="DV104" s="91"/>
      <c r="DW104" s="37" t="s">
        <v>88</v>
      </c>
      <c r="DX104" s="391" t="s">
        <v>416</v>
      </c>
      <c r="DY104" s="37" t="s">
        <v>88</v>
      </c>
      <c r="DZ104" s="184" t="s">
        <v>342</v>
      </c>
      <c r="EA104" s="49" t="s">
        <v>360</v>
      </c>
      <c r="EB104" s="179">
        <v>6</v>
      </c>
      <c r="EC104" s="49" t="s">
        <v>360</v>
      </c>
      <c r="ED104" s="77">
        <v>2013</v>
      </c>
      <c r="EE104" s="49">
        <v>0</v>
      </c>
      <c r="EF104" s="78" t="s">
        <v>216</v>
      </c>
      <c r="EG104" s="184" t="s">
        <v>342</v>
      </c>
      <c r="EH104" s="49" t="s">
        <v>360</v>
      </c>
      <c r="EI104" s="179">
        <v>6</v>
      </c>
      <c r="EJ104" s="49" t="s">
        <v>360</v>
      </c>
      <c r="EK104" s="77">
        <v>2013</v>
      </c>
      <c r="EL104" s="35">
        <v>3.66</v>
      </c>
      <c r="EM104" s="55" t="s">
        <v>216</v>
      </c>
      <c r="EN104" s="79" t="s">
        <v>116</v>
      </c>
      <c r="EO104" s="91"/>
      <c r="EP104" s="80"/>
      <c r="EQ104" s="80"/>
      <c r="ER104" s="80"/>
      <c r="ES104" s="80"/>
      <c r="ET104" s="80"/>
      <c r="EU104" s="80"/>
      <c r="EV104" s="80"/>
      <c r="EW104" s="80"/>
      <c r="EX104" s="80"/>
      <c r="EY104" s="80"/>
      <c r="EZ104" s="80"/>
      <c r="FA104" s="80"/>
      <c r="FB104" s="80"/>
      <c r="FC104" s="80"/>
      <c r="FD104" s="80"/>
      <c r="FE104" s="80"/>
      <c r="FF104" s="80"/>
      <c r="FG104" s="80"/>
      <c r="FH104" s="80"/>
      <c r="FI104" s="80"/>
      <c r="FJ104" s="80"/>
      <c r="FK104" s="80"/>
      <c r="FL104" s="80"/>
      <c r="FM104" s="80"/>
      <c r="FN104" s="80"/>
      <c r="FO104" s="80"/>
      <c r="FP104" s="80"/>
      <c r="FQ104" s="80"/>
      <c r="FR104" s="80"/>
    </row>
    <row r="105" spans="1:174" s="319" customFormat="1" ht="11.25" customHeight="1" x14ac:dyDescent="0.25">
      <c r="A105" s="101">
        <v>739</v>
      </c>
      <c r="B105" s="517">
        <v>52</v>
      </c>
      <c r="C105" s="272"/>
      <c r="D105" s="272" t="s">
        <v>144</v>
      </c>
      <c r="E105" s="320" t="s">
        <v>94</v>
      </c>
      <c r="F105" s="272" t="s">
        <v>381</v>
      </c>
      <c r="G105" s="637" t="s">
        <v>275</v>
      </c>
      <c r="H105" s="638" t="s">
        <v>360</v>
      </c>
      <c r="I105" s="637" t="s">
        <v>350</v>
      </c>
      <c r="J105" s="638" t="s">
        <v>360</v>
      </c>
      <c r="K105" s="273">
        <v>1968</v>
      </c>
      <c r="L105" s="273" t="s">
        <v>452</v>
      </c>
      <c r="M105" s="273" t="s">
        <v>457</v>
      </c>
      <c r="N105" s="273"/>
      <c r="O105" s="273" t="s">
        <v>104</v>
      </c>
      <c r="P105" s="273" t="s">
        <v>255</v>
      </c>
      <c r="Q105" s="273" t="s">
        <v>253</v>
      </c>
      <c r="R105" s="273" t="s">
        <v>336</v>
      </c>
      <c r="S105" s="273" t="s">
        <v>557</v>
      </c>
      <c r="T105" s="275" t="s">
        <v>263</v>
      </c>
      <c r="U105" s="276" t="s">
        <v>106</v>
      </c>
      <c r="V105" s="382" t="s">
        <v>424</v>
      </c>
      <c r="W105" s="401" t="s">
        <v>429</v>
      </c>
      <c r="X105" s="300" t="s">
        <v>427</v>
      </c>
      <c r="Y105" s="398" t="s">
        <v>429</v>
      </c>
      <c r="Z105" s="402" t="s">
        <v>427</v>
      </c>
      <c r="AA105" s="277" t="s">
        <v>410</v>
      </c>
      <c r="AB105" s="278">
        <v>0</v>
      </c>
      <c r="AC105" s="496" t="s">
        <v>360</v>
      </c>
      <c r="AD105" s="279">
        <v>6</v>
      </c>
      <c r="AE105" s="280">
        <v>5.84</v>
      </c>
      <c r="AF105" s="467"/>
      <c r="AG105" s="467"/>
      <c r="AH105" s="502"/>
      <c r="AI105" s="493" t="s">
        <v>360</v>
      </c>
      <c r="AJ105" s="282"/>
      <c r="AK105" s="493" t="s">
        <v>360</v>
      </c>
      <c r="AL105" s="503"/>
      <c r="AM105" s="291"/>
      <c r="AN105" s="292"/>
      <c r="AO105" s="281">
        <v>1</v>
      </c>
      <c r="AP105" s="491" t="s">
        <v>360</v>
      </c>
      <c r="AQ105" s="283">
        <v>6</v>
      </c>
      <c r="AR105" s="284">
        <v>6.2</v>
      </c>
      <c r="AS105" s="414"/>
      <c r="AT105" s="285" t="s">
        <v>342</v>
      </c>
      <c r="AU105" s="488" t="s">
        <v>360</v>
      </c>
      <c r="AV105" s="287" t="s">
        <v>17</v>
      </c>
      <c r="AW105" s="488" t="s">
        <v>360</v>
      </c>
      <c r="AX105" s="522">
        <v>2018</v>
      </c>
      <c r="AY105" s="318"/>
      <c r="AZ105" s="471"/>
      <c r="BA105" s="481"/>
      <c r="BB105" s="290">
        <v>3</v>
      </c>
      <c r="BC105" s="403">
        <v>27</v>
      </c>
      <c r="BD105" s="280">
        <v>6.2</v>
      </c>
      <c r="BE105" s="280">
        <v>0.36</v>
      </c>
      <c r="BF105" s="293" t="s">
        <v>411</v>
      </c>
      <c r="BG105" s="294">
        <v>22</v>
      </c>
      <c r="BH105" s="425" t="s">
        <v>333</v>
      </c>
      <c r="BI105" s="504" t="s">
        <v>342</v>
      </c>
      <c r="BJ105" s="1273" t="s">
        <v>360</v>
      </c>
      <c r="BK105" s="421">
        <v>9</v>
      </c>
      <c r="BL105" s="488" t="s">
        <v>360</v>
      </c>
      <c r="BM105" s="288">
        <v>2019</v>
      </c>
      <c r="BN105" s="291"/>
      <c r="BO105" s="297"/>
      <c r="BP105" s="295">
        <v>23</v>
      </c>
      <c r="BQ105" s="505" t="s">
        <v>333</v>
      </c>
      <c r="BR105" s="504" t="s">
        <v>342</v>
      </c>
      <c r="BS105" s="488" t="s">
        <v>360</v>
      </c>
      <c r="BT105" s="421">
        <v>9</v>
      </c>
      <c r="BU105" s="488" t="s">
        <v>360</v>
      </c>
      <c r="BV105" s="288">
        <v>2020</v>
      </c>
      <c r="BW105" s="296"/>
      <c r="BX105" s="289"/>
      <c r="BY105" s="404">
        <v>0</v>
      </c>
      <c r="BZ105" s="293" t="s">
        <v>216</v>
      </c>
      <c r="CA105" s="273" t="s">
        <v>577</v>
      </c>
      <c r="CB105" s="298" t="s">
        <v>362</v>
      </c>
      <c r="CC105" s="299" t="s">
        <v>269</v>
      </c>
      <c r="CD105" s="277">
        <v>42</v>
      </c>
      <c r="CE105" s="272" t="s">
        <v>116</v>
      </c>
      <c r="CF105" s="272"/>
      <c r="CG105" s="388"/>
      <c r="CH105" s="272"/>
      <c r="CI105" s="405"/>
      <c r="CJ105" s="272" t="s">
        <v>216</v>
      </c>
      <c r="CK105" s="301" t="s">
        <v>231</v>
      </c>
      <c r="CL105" s="302">
        <v>2</v>
      </c>
      <c r="CM105" s="303">
        <v>2018</v>
      </c>
      <c r="CN105" s="302"/>
      <c r="CO105" s="304">
        <v>2012</v>
      </c>
      <c r="CP105" s="301" t="s">
        <v>216</v>
      </c>
      <c r="CQ105" s="302"/>
      <c r="CR105" s="274"/>
      <c r="CS105" s="302"/>
      <c r="CT105" s="304"/>
      <c r="CU105" s="305" t="s">
        <v>116</v>
      </c>
      <c r="CV105" s="306" t="s">
        <v>57</v>
      </c>
      <c r="CW105" s="307">
        <v>1</v>
      </c>
      <c r="CX105" s="308">
        <v>2024</v>
      </c>
      <c r="CY105" s="307">
        <v>10</v>
      </c>
      <c r="CZ105" s="308">
        <v>2023</v>
      </c>
      <c r="DA105" s="307">
        <v>7</v>
      </c>
      <c r="DB105" s="308">
        <v>2023</v>
      </c>
      <c r="DC105" s="309" t="s">
        <v>216</v>
      </c>
      <c r="DD105" s="310" t="s">
        <v>207</v>
      </c>
      <c r="DE105" s="310"/>
      <c r="DF105" s="277">
        <v>660</v>
      </c>
      <c r="DG105" s="277">
        <v>600</v>
      </c>
      <c r="DH105" s="277">
        <v>46</v>
      </c>
      <c r="DI105" s="277" t="s">
        <v>406</v>
      </c>
      <c r="DJ105" s="277"/>
      <c r="DK105" s="277"/>
      <c r="DL105" s="293" t="s">
        <v>219</v>
      </c>
      <c r="DM105" s="302" t="s">
        <v>218</v>
      </c>
      <c r="DN105" s="274"/>
      <c r="DO105" s="272"/>
      <c r="DP105" s="311"/>
      <c r="DQ105" s="274"/>
      <c r="DR105" s="304"/>
      <c r="DS105" s="312"/>
      <c r="DT105" s="313"/>
      <c r="DU105" s="314"/>
      <c r="DV105" s="318"/>
      <c r="DW105" s="321" t="s">
        <v>148</v>
      </c>
      <c r="DX105" s="400" t="s">
        <v>416</v>
      </c>
      <c r="DY105" s="321" t="s">
        <v>148</v>
      </c>
      <c r="DZ105" s="285" t="s">
        <v>342</v>
      </c>
      <c r="EA105" s="287" t="s">
        <v>360</v>
      </c>
      <c r="EB105" s="287" t="s">
        <v>348</v>
      </c>
      <c r="EC105" s="287" t="s">
        <v>360</v>
      </c>
      <c r="ED105" s="315">
        <v>2012</v>
      </c>
      <c r="EE105" s="287">
        <v>0</v>
      </c>
      <c r="EF105" s="316" t="s">
        <v>216</v>
      </c>
      <c r="EG105" s="285" t="s">
        <v>342</v>
      </c>
      <c r="EH105" s="287" t="s">
        <v>360</v>
      </c>
      <c r="EI105" s="287" t="s">
        <v>348</v>
      </c>
      <c r="EJ105" s="287" t="s">
        <v>360</v>
      </c>
      <c r="EK105" s="315">
        <v>2012</v>
      </c>
      <c r="EL105" s="272">
        <v>3.66</v>
      </c>
      <c r="EM105" s="301">
        <v>1.8599999999999999</v>
      </c>
      <c r="EN105" s="317" t="s">
        <v>116</v>
      </c>
      <c r="EO105" s="318"/>
    </row>
    <row r="106" spans="1:174" s="80" customFormat="1" ht="11.25" customHeight="1" x14ac:dyDescent="0.2">
      <c r="A106" s="101">
        <v>757</v>
      </c>
      <c r="B106" s="517">
        <v>53</v>
      </c>
      <c r="C106" s="35"/>
      <c r="D106" s="35" t="s">
        <v>144</v>
      </c>
      <c r="E106" s="40" t="s">
        <v>296</v>
      </c>
      <c r="F106" s="35" t="s">
        <v>381</v>
      </c>
      <c r="G106" s="64" t="s">
        <v>281</v>
      </c>
      <c r="H106" s="620" t="s">
        <v>360</v>
      </c>
      <c r="I106" s="64">
        <v>5</v>
      </c>
      <c r="J106" s="620" t="s">
        <v>360</v>
      </c>
      <c r="K106" s="40">
        <v>1979</v>
      </c>
      <c r="L106" s="193" t="s">
        <v>452</v>
      </c>
      <c r="M106" s="652" t="s">
        <v>457</v>
      </c>
      <c r="N106" s="199"/>
      <c r="O106" s="621" t="s">
        <v>104</v>
      </c>
      <c r="P106" s="40" t="s">
        <v>256</v>
      </c>
      <c r="Q106" s="371" t="s">
        <v>254</v>
      </c>
      <c r="R106" s="174" t="s">
        <v>564</v>
      </c>
      <c r="S106" s="646" t="s">
        <v>557</v>
      </c>
      <c r="T106" s="38" t="s">
        <v>105</v>
      </c>
      <c r="U106" s="39" t="s">
        <v>216</v>
      </c>
      <c r="V106" s="663" t="s">
        <v>424</v>
      </c>
      <c r="W106" s="370" t="s">
        <v>430</v>
      </c>
      <c r="X106" s="373" t="s">
        <v>426</v>
      </c>
      <c r="Y106" s="397" t="s">
        <v>430</v>
      </c>
      <c r="Z106" s="397" t="s">
        <v>426</v>
      </c>
      <c r="AA106" s="52" t="s">
        <v>410</v>
      </c>
      <c r="AB106" s="175">
        <v>5</v>
      </c>
      <c r="AC106" s="495" t="s">
        <v>360</v>
      </c>
      <c r="AD106" s="43">
        <v>9</v>
      </c>
      <c r="AE106" s="44">
        <v>3.66</v>
      </c>
      <c r="AF106" s="409"/>
      <c r="AG106" s="409"/>
      <c r="AH106" s="485"/>
      <c r="AI106" s="493" t="s">
        <v>360</v>
      </c>
      <c r="AJ106" s="109"/>
      <c r="AK106" s="493" t="s">
        <v>360</v>
      </c>
      <c r="AL106" s="486"/>
      <c r="AM106" s="162"/>
      <c r="AN106" s="53"/>
      <c r="AO106" s="45">
        <v>6</v>
      </c>
      <c r="AP106" s="490" t="s">
        <v>360</v>
      </c>
      <c r="AQ106" s="87">
        <v>9</v>
      </c>
      <c r="AR106" s="47">
        <v>3.99</v>
      </c>
      <c r="AS106" s="413"/>
      <c r="AT106" s="48" t="s">
        <v>342</v>
      </c>
      <c r="AU106" s="492" t="s">
        <v>360</v>
      </c>
      <c r="AV106" s="49" t="s">
        <v>342</v>
      </c>
      <c r="AW106" s="484" t="s">
        <v>360</v>
      </c>
      <c r="AX106" s="159">
        <v>2018</v>
      </c>
      <c r="AY106" s="91"/>
      <c r="AZ106" s="469" t="s">
        <v>602</v>
      </c>
      <c r="BA106" s="480">
        <v>1.18</v>
      </c>
      <c r="BB106" s="51">
        <v>3</v>
      </c>
      <c r="BC106" s="328">
        <v>32</v>
      </c>
      <c r="BD106" s="280">
        <v>2.34</v>
      </c>
      <c r="BE106" s="280">
        <v>0.33</v>
      </c>
      <c r="BF106" s="57" t="s">
        <v>411</v>
      </c>
      <c r="BG106" s="58">
        <v>13</v>
      </c>
      <c r="BH106" s="424" t="s">
        <v>333</v>
      </c>
      <c r="BI106" s="60" t="s">
        <v>342</v>
      </c>
      <c r="BJ106" s="1272" t="s">
        <v>360</v>
      </c>
      <c r="BK106" s="422" t="s">
        <v>349</v>
      </c>
      <c r="BL106" s="489" t="s">
        <v>360</v>
      </c>
      <c r="BM106" s="245">
        <v>2019</v>
      </c>
      <c r="BN106" s="162"/>
      <c r="BO106" s="62"/>
      <c r="BP106" s="59">
        <v>14</v>
      </c>
      <c r="BQ106" s="429" t="s">
        <v>333</v>
      </c>
      <c r="BR106" s="60" t="s">
        <v>342</v>
      </c>
      <c r="BS106" s="484" t="s">
        <v>360</v>
      </c>
      <c r="BT106" s="420" t="s">
        <v>349</v>
      </c>
      <c r="BU106" s="484" t="s">
        <v>360</v>
      </c>
      <c r="BV106" s="50">
        <v>2020</v>
      </c>
      <c r="BW106" s="61"/>
      <c r="BX106" s="161"/>
      <c r="BY106" s="329">
        <v>0</v>
      </c>
      <c r="BZ106" s="57" t="s">
        <v>216</v>
      </c>
      <c r="CA106" s="392" t="s">
        <v>577</v>
      </c>
      <c r="CB106" s="63" t="s">
        <v>362</v>
      </c>
      <c r="CC106" s="41" t="s">
        <v>269</v>
      </c>
      <c r="CD106" s="52">
        <v>37</v>
      </c>
      <c r="CE106" s="35" t="s">
        <v>116</v>
      </c>
      <c r="CF106" s="35"/>
      <c r="CG106" s="379"/>
      <c r="CH106" s="35"/>
      <c r="CI106" s="135"/>
      <c r="CJ106" s="35" t="s">
        <v>216</v>
      </c>
      <c r="CK106" s="55" t="s">
        <v>216</v>
      </c>
      <c r="CL106" s="65"/>
      <c r="CM106" s="66"/>
      <c r="CN106" s="65"/>
      <c r="CO106" s="84"/>
      <c r="CP106" s="55" t="s">
        <v>268</v>
      </c>
      <c r="CQ106" s="65">
        <v>6</v>
      </c>
      <c r="CR106" s="66">
        <v>2013</v>
      </c>
      <c r="CS106" s="65"/>
      <c r="CT106" s="84"/>
      <c r="CU106" s="69" t="s">
        <v>116</v>
      </c>
      <c r="CV106" s="70" t="s">
        <v>57</v>
      </c>
      <c r="CW106" s="67">
        <v>6</v>
      </c>
      <c r="CX106" s="68">
        <v>2034</v>
      </c>
      <c r="CY106" s="67">
        <v>3</v>
      </c>
      <c r="CZ106" s="68">
        <v>2034</v>
      </c>
      <c r="DA106" s="67">
        <v>12</v>
      </c>
      <c r="DB106" s="68">
        <v>2033</v>
      </c>
      <c r="DC106" s="71" t="s">
        <v>216</v>
      </c>
      <c r="DD106" s="72" t="s">
        <v>207</v>
      </c>
      <c r="DE106" s="72"/>
      <c r="DF106" s="52">
        <v>660</v>
      </c>
      <c r="DG106" s="52">
        <v>475</v>
      </c>
      <c r="DH106" s="52">
        <v>35</v>
      </c>
      <c r="DI106" s="52" t="s">
        <v>404</v>
      </c>
      <c r="DJ106" s="52"/>
      <c r="DK106" s="52"/>
      <c r="DL106" s="57" t="s">
        <v>217</v>
      </c>
      <c r="DM106" s="65" t="s">
        <v>218</v>
      </c>
      <c r="DN106" s="36"/>
      <c r="DO106" s="35" t="s">
        <v>268</v>
      </c>
      <c r="DP106" s="73">
        <v>6</v>
      </c>
      <c r="DQ106" s="36">
        <v>2013</v>
      </c>
      <c r="DR106" s="84"/>
      <c r="DS106" s="85"/>
      <c r="DT106" s="86"/>
      <c r="DU106" s="76"/>
      <c r="DV106" s="91"/>
      <c r="DW106" s="100" t="s">
        <v>73</v>
      </c>
      <c r="DX106" s="391" t="s">
        <v>416</v>
      </c>
      <c r="DY106" s="37" t="s">
        <v>73</v>
      </c>
      <c r="DZ106" s="184" t="s">
        <v>342</v>
      </c>
      <c r="EA106" s="49" t="s">
        <v>360</v>
      </c>
      <c r="EB106" s="179" t="s">
        <v>349</v>
      </c>
      <c r="EC106" s="49" t="s">
        <v>360</v>
      </c>
      <c r="ED106" s="77">
        <v>2012</v>
      </c>
      <c r="EE106" s="49">
        <v>0</v>
      </c>
      <c r="EF106" s="78" t="s">
        <v>216</v>
      </c>
      <c r="EG106" s="184" t="s">
        <v>342</v>
      </c>
      <c r="EH106" s="49" t="s">
        <v>360</v>
      </c>
      <c r="EI106" s="179" t="s">
        <v>349</v>
      </c>
      <c r="EJ106" s="49" t="s">
        <v>360</v>
      </c>
      <c r="EK106" s="77">
        <v>2012</v>
      </c>
      <c r="EL106" s="35"/>
      <c r="EM106" s="55" t="s">
        <v>216</v>
      </c>
      <c r="EN106" s="79" t="s">
        <v>116</v>
      </c>
      <c r="EO106" s="91"/>
    </row>
    <row r="107" spans="1:174" s="238" customFormat="1" ht="11.25" customHeight="1" x14ac:dyDescent="0.2">
      <c r="A107" s="101">
        <v>670</v>
      </c>
      <c r="B107" s="517">
        <v>54</v>
      </c>
      <c r="C107" s="35"/>
      <c r="D107" s="35" t="str">
        <f t="shared" ref="D107:D112" si="237">IF(F107="Nam","Ông","Bà")</f>
        <v>Bà</v>
      </c>
      <c r="E107" s="40" t="s">
        <v>307</v>
      </c>
      <c r="F107" s="35" t="s">
        <v>381</v>
      </c>
      <c r="G107" s="64" t="s">
        <v>278</v>
      </c>
      <c r="H107" s="620" t="s">
        <v>360</v>
      </c>
      <c r="I107" s="64" t="s">
        <v>348</v>
      </c>
      <c r="J107" s="620" t="s">
        <v>360</v>
      </c>
      <c r="K107" s="40">
        <v>1977</v>
      </c>
      <c r="L107" s="193" t="s">
        <v>452</v>
      </c>
      <c r="M107" s="652" t="str">
        <f t="shared" ref="M107:M112" si="238">IF(L107="công chức","CC",IF(L107="viên chức","VC",IF(L107="người lao động","NLĐ","- - -")))</f>
        <v>VC</v>
      </c>
      <c r="N107" s="199"/>
      <c r="O107" s="621" t="e">
        <f t="shared" ref="O107:O112" si="239">IF(AND((Q107+0)&gt;0.3,(Q107+0)&lt;1.5),"CVụ","- -")</f>
        <v>#N/A</v>
      </c>
      <c r="P107" s="40"/>
      <c r="Q107" s="371" t="e">
        <f>VLOOKUP(P107,'[1]- DLiêu Gốc (Không sửa)'!$C$2:$H$116,2,0)</f>
        <v>#N/A</v>
      </c>
      <c r="R107" s="40" t="s">
        <v>9</v>
      </c>
      <c r="S107" s="646" t="s">
        <v>557</v>
      </c>
      <c r="T107" s="38" t="str">
        <f>VLOOKUP(Y107,'Du lieu lien quan'!$C$2:$H$60,5,0)</f>
        <v>A1</v>
      </c>
      <c r="U107" s="39" t="str">
        <f>VLOOKUP(Y107,'Du lieu lien quan'!$C$2:$H$60,6,0)</f>
        <v>- - -</v>
      </c>
      <c r="V107" s="663" t="s">
        <v>424</v>
      </c>
      <c r="W107" s="370" t="str">
        <f t="shared" ref="W107:W112" si="240">IF(OR(Y107="Kỹ thuật viên đánh máy",Y107="Nhân viên đánh máy",Y107="Nhân viên kỹ thuật",Y107="Nhân viên văn thư",Y107="Nhân viên phục vụ",Y107="Lái xe cơ quan",Y107="Nhân viên bảo vệ"),"Nhân viên",Y107)</f>
        <v>Giảng viên (hạng III)</v>
      </c>
      <c r="X107" s="373" t="str">
        <f t="shared" ref="X107:X112" si="241">IF(W107="Nhân viên","01.005",Z107)</f>
        <v>V.07.01.03</v>
      </c>
      <c r="Y107" s="397" t="s">
        <v>430</v>
      </c>
      <c r="Z107" s="397" t="str">
        <f>VLOOKUP(Y107,'Du lieu lien quan'!$C$1:$H$133,2,0)</f>
        <v>V.07.01.03</v>
      </c>
      <c r="AA107" s="52" t="str">
        <f t="shared" ref="AA107:AA112" si="242">IF(OR(AND(BC107=36,BB107=3),AND(BC107=24,BB107=2),AND(BC107=12,BB107=1)),"Đến $",IF(OR(AND(BC107&gt;36,BB107=3),AND(BC107&gt;24,BB107=2),AND(BC107&gt;12,BB107=1)),"Dừng $","Lương"))</f>
        <v>Lương</v>
      </c>
      <c r="AB107" s="175">
        <v>5</v>
      </c>
      <c r="AC107" s="495" t="str">
        <f>IF(AD107&gt;0,"/")</f>
        <v>/</v>
      </c>
      <c r="AD107" s="43">
        <f>IF(OR(BE107=0.18,BE107=0.2),12,IF(BE107=0.31,10,IF(BE107=0.33,9,IF(BE107=0.34,8,IF(BE107=0.36,6)))))</f>
        <v>9</v>
      </c>
      <c r="AE107" s="44">
        <f>BD107+(AB107-1)*BE107</f>
        <v>3.66</v>
      </c>
      <c r="AF107" s="409"/>
      <c r="AG107" s="409"/>
      <c r="AH107" s="485"/>
      <c r="AI107" s="493" t="s">
        <v>360</v>
      </c>
      <c r="AJ107" s="109"/>
      <c r="AK107" s="493" t="s">
        <v>360</v>
      </c>
      <c r="AL107" s="486"/>
      <c r="AM107" s="162"/>
      <c r="AN107" s="53"/>
      <c r="AO107" s="45">
        <f t="shared" ref="AO107:AO112" si="243">AB107+1</f>
        <v>6</v>
      </c>
      <c r="AP107" s="490" t="str">
        <f t="shared" ref="AP107:AP112" si="244">IF(AD107=AB107,"%",IF(AD107&gt;AB107,"/"))</f>
        <v>/</v>
      </c>
      <c r="AQ107" s="87">
        <f t="shared" ref="AQ107:AQ112" si="245">IF(AND(AD107=AB107,AO107=4),5,IF(AND(AD107=AB107,AO107&gt;4),AO107+1,IF(AD107&gt;AB107,AD107)))</f>
        <v>9</v>
      </c>
      <c r="AR107" s="47">
        <f t="shared" ref="AR107:AR112" si="246">IF(AD107=AB107,"%",IF(AD107&gt;AB107,AE107+BE107))</f>
        <v>3.99</v>
      </c>
      <c r="AS107" s="413"/>
      <c r="AT107" s="48" t="s">
        <v>342</v>
      </c>
      <c r="AU107" s="484" t="s">
        <v>360</v>
      </c>
      <c r="AV107" s="49" t="s">
        <v>342</v>
      </c>
      <c r="AW107" s="484" t="s">
        <v>360</v>
      </c>
      <c r="AX107" s="50">
        <v>2018</v>
      </c>
      <c r="AY107" s="91"/>
      <c r="AZ107" s="266"/>
      <c r="BA107" s="480">
        <v>1.18</v>
      </c>
      <c r="BB107" s="51">
        <f t="shared" ref="BB107:BB112" si="247">IF(AND(AD107&gt;AB107,OR(BE107=0.18,BE107=0.2)),2,IF(AND(AD107&gt;AB107,OR(BE107=0.31,BE107=0.33,BE107=0.34,BE107=0.36)),3,IF(AD107=AB107,1)))</f>
        <v>3</v>
      </c>
      <c r="BC107" s="328">
        <f t="shared" ref="BC107:BC112" si="248">12*($AA$2-AX107)+($AA$3-AV107)-AM107</f>
        <v>-24217</v>
      </c>
      <c r="BD107" s="280">
        <f>VLOOKUP(Y107,'Du lieu lien quan'!$C$1:$F$60,3,0)</f>
        <v>2.34</v>
      </c>
      <c r="BE107" s="280">
        <f>VLOOKUP(Y107,'Du lieu lien quan'!$C$1:$F$60,4,0)</f>
        <v>0.33</v>
      </c>
      <c r="BF107" s="57" t="str">
        <f t="shared" ref="BF107:BF112" si="249">IF(AND(BG107&gt;3,BY107=12),"Đến %",IF(AND(BG107&gt;3,BY107&gt;12,BY107&lt;120),"Dừng %",IF(AND(BG107&gt;3,BY107&lt;12),"PCTN","o-o-o")))</f>
        <v>PCTN</v>
      </c>
      <c r="BG107" s="58">
        <v>16</v>
      </c>
      <c r="BH107" s="424" t="s">
        <v>333</v>
      </c>
      <c r="BI107" s="60" t="s">
        <v>342</v>
      </c>
      <c r="BJ107" s="1272" t="s">
        <v>360</v>
      </c>
      <c r="BK107" s="422">
        <v>5</v>
      </c>
      <c r="BL107" s="489" t="s">
        <v>360</v>
      </c>
      <c r="BM107" s="245">
        <v>2019</v>
      </c>
      <c r="BN107" s="162"/>
      <c r="BO107" s="62"/>
      <c r="BP107" s="59">
        <f t="shared" ref="BP107:BP112" si="250">IF(BG107&gt;3,BG107+1,0)</f>
        <v>17</v>
      </c>
      <c r="BQ107" s="429" t="s">
        <v>333</v>
      </c>
      <c r="BR107" s="60" t="s">
        <v>342</v>
      </c>
      <c r="BS107" s="484" t="s">
        <v>360</v>
      </c>
      <c r="BT107" s="420">
        <v>5</v>
      </c>
      <c r="BU107" s="484" t="s">
        <v>360</v>
      </c>
      <c r="BV107" s="50">
        <v>2020</v>
      </c>
      <c r="BW107" s="61"/>
      <c r="BX107" s="161">
        <v>5</v>
      </c>
      <c r="BY107" s="329">
        <f t="shared" ref="BY107:BY112" si="251">IF(BG107&gt;3,(($BF$2-BV107)*12+($BF$3-BT107)-BN107),"- - -")</f>
        <v>-24245</v>
      </c>
      <c r="BZ107" s="57" t="str">
        <f t="shared" ref="BZ107:BZ112" si="252">IF(AND(CV107="Hưu",BG107&gt;3),12-(12*(DB107-BV107)+(DA107-BT107))-BN107,"- - -")</f>
        <v>- - -</v>
      </c>
      <c r="CA107" s="392" t="str">
        <f t="shared" ref="CA107:CA112" si="253">IF(OR(S107="Ban Tổ chức - Cán bộ",S107="Văn phòng Học viện",S107="Phó Giám đốc Thường trực Học viện",S107="Phó Giám đốc Học viện"),"Chánh Văn phòng Học viện, Trưởng Ban Tổ chức - Cán bộ",IF(OR(S107="Trung tâm Ngoại ngữ",S107="Trung tâm Tin học hành chính và Công nghệ thông tin",S107="Trung tâm Tin học - Thư viện",S107="Phân viện khu vực Tây Nguyên"),"Chánh Văn phòng Học viện, Trưởng Ban Tổ chức - Cán bộ, "&amp;CONCATENATE("Giám đốc ",S107),IF(S107="Tạp chí Quản lý nhà nước","Chánh Văn phòng Học viện, Trưởng Ban Tổ chức - Cán bộ, "&amp;CONCATENATE("Tổng Biên tập ",S107),IF(S107="Văn phòng Đảng uỷ Học viện","Chánh Văn phòng Học viện, Trưởng Ban Tổ chức - Cán bộ, "&amp;CONCATENATE("Chánh",S107),IF(S107="Viện Nghiên cứu Khoa học hành chính","Chánh Văn phòng Học viện, Trưởng Ban Tổ chức - Cán bộ, "&amp;CONCATENATE("Viện Trưởng ",S107),IF(OR(S107="Cơ sở Học viện Hành chính Quốc gia khu vực miền Trung",S107="Cơ sở Học viện Hành chính Quốc gia tại Thành phố Hồ Chí Minh"),"Chánh Văn phòng Học viện, Trưởng Ban Tổ chức - Cán bộ, "&amp;CONCATENATE("Thủ trưởng ",S107),"Chánh Văn phòng Học viện, Trưởng Ban Tổ chức - Cán bộ, "&amp;CONCATENATE("Trưởng ",S107)))))))</f>
        <v>Chánh Văn phòng Học viện, Trưởng Ban Tổ chức - Cán bộ, Trưởng Phân viện Học viện Hành chính Quốc gia tại Thành phố Hồ Chí Minh</v>
      </c>
      <c r="CB107" s="63" t="str">
        <f t="shared" ref="CB107:CB112" si="254">IF(S107="Cơ sở Học viện Hành chính khu vực miền Trung","B",IF(S107="Phân viện Khu vực Tây Nguyên","C",IF(S107="Cơ sở Học viện Hành chính tại thành phố Hồ Chí Minh","D","A")))</f>
        <v>A</v>
      </c>
      <c r="CC107" s="41" t="str">
        <f t="shared" ref="CC107:CC112" si="255">IF(AND(AO107&gt;0,AB107&lt;(AD107-1),CD107&gt;0,CD107&lt;13,OR(AND(CJ107="Cùg Ng",($CC$2-CF107)&gt;BB107),CJ107="- - -")),"Sớm TT","=&gt; s")</f>
        <v>=&gt; s</v>
      </c>
      <c r="CD107" s="52">
        <f t="shared" ref="CD107:CD112" si="256">IF(BB107=3,36-(12*($CC$2-AX107)+(12-AV107)-AM107),IF(BB107=2,24-(12*($CC$2-AX107)+(12-AV107)-AM107),"---"))</f>
        <v>24241</v>
      </c>
      <c r="CE107" s="35" t="str">
        <f t="shared" ref="CE107:CE112" si="257">IF(CF107&gt;1,"S","---")</f>
        <v>---</v>
      </c>
      <c r="CF107" s="35"/>
      <c r="CG107" s="379"/>
      <c r="CH107" s="35"/>
      <c r="CI107" s="135"/>
      <c r="CJ107" s="35" t="str">
        <f t="shared" ref="CJ107:CJ112" si="258">IF(X107=CG107,"Cùg Ng","- - -")</f>
        <v>- - -</v>
      </c>
      <c r="CK107" s="55" t="str">
        <f t="shared" ref="CK107:CK112" si="259">IF(CM107&gt;2000,"NN","- - -")</f>
        <v>- - -</v>
      </c>
      <c r="CL107" s="65"/>
      <c r="CM107" s="66"/>
      <c r="CN107" s="65"/>
      <c r="CO107" s="84"/>
      <c r="CP107" s="55" t="str">
        <f t="shared" ref="CP107:CP112" si="260">IF(CR107&gt;2000,"CN","- - -")</f>
        <v>- - -</v>
      </c>
      <c r="CQ107" s="65"/>
      <c r="CR107" s="66"/>
      <c r="CS107" s="65"/>
      <c r="CT107" s="84"/>
      <c r="CU107" s="69" t="str">
        <f t="shared" ref="CU107:CU112" si="261">IF(AND(CV107="Hưu",AB107&lt;(AD107-1),DC107&gt;0,DC107&lt;18,OR(BG107&lt;4,AND(BG107&gt;3,OR(BZ107&lt;3,BZ107&gt;5)))),"Lg Sớm",IF(AND(CV107="Hưu",AB107&gt;(AD107-2),OR(BE107=0.33,BE107=0.34),OR(BG107&lt;4,AND(BG107&gt;3,OR(BZ107&lt;3,BZ107&gt;5)))),"Nâng Ngạch",IF(AND(CV107="Hưu",BB107=1,DC107&gt;2,DC107&lt;6,OR(BG107&lt;4,AND(BG107&gt;3,OR(BZ107&lt;3,BZ107&gt;5)))),"Nâng PcVK cùng QĐ",IF(AND(CV107="Hưu",BG107&gt;3,BZ107&gt;2,BZ107&lt;6,AB107&lt;(AD107-1),DC107&gt;17,OR(BB107&gt;1,AND(BB107=1,OR(DC107&lt;3,DC107&gt;5)))),"Nâng PcNG cùng QĐ",IF(AND(CV107="Hưu",AB107&lt;(AD107-1),DC107&gt;0,DC107&lt;18,BG107&gt;3,BZ107&gt;2,BZ107&lt;6),"Nâng Lg Sớm +(PcNG cùng QĐ)",IF(AND(CV107="Hưu",AB107&gt;(AD107-2),OR(BE107=0.33,BE107=0.34),BG107&gt;3,BZ107&gt;2,BZ107&lt;6),"Nâng Ngạch +(PcNG cùng QĐ)",IF(AND(CV107="Hưu",BB107=1,DC107&gt;2,DC107&lt;6,BG107&gt;3,BZ107&gt;2,BZ107&lt;6),"Nâng (PcVK +PcNG) cùng QĐ",("---"))))))))</f>
        <v>---</v>
      </c>
      <c r="CV107" s="70" t="str">
        <f t="shared" ref="CV107:CV112" si="262">IF(AND(DG107&gt;DF107,DG107&lt;(DF107+13)),"Hưu",IF(AND(DG107&gt;(DF107+12),DG107&lt;1000),"Quá","/-/ /-/"))</f>
        <v>/-/ /-/</v>
      </c>
      <c r="CW107" s="67">
        <f t="shared" ref="CW107:CW112" si="263">IF((I107+0)&lt;12,(I107+0)+1,IF((I107+0)=12,1,IF((I107+0)&gt;12,(I107+0)-12)))</f>
        <v>8</v>
      </c>
      <c r="CX107" s="68">
        <f t="shared" ref="CX107:CX112" si="264">IF(OR((I107+0)=12,(I107+0)&gt;12),K107+DF107/12+1,IF(AND((I107+0)&gt;0,(I107+0)&lt;12),K107+DF107/12,"---"))</f>
        <v>2032</v>
      </c>
      <c r="CY107" s="67">
        <f t="shared" ref="CY107:CY112" si="265">IF(AND(CW107&gt;3,CW107&lt;13),CW107-3,IF(CW107&lt;4,CW107-3+12))</f>
        <v>5</v>
      </c>
      <c r="CZ107" s="68">
        <f t="shared" ref="CZ107:CZ112" si="266">IF(CY107&lt;CW107,CX107,IF(CY107&gt;CW107,CX107-1))</f>
        <v>2032</v>
      </c>
      <c r="DA107" s="67">
        <f t="shared" ref="DA107:DA112" si="267">IF(CW107&gt;6,CW107-6,IF(CW107=6,12,IF(CW107&lt;6,CW107+6)))</f>
        <v>2</v>
      </c>
      <c r="DB107" s="68">
        <f t="shared" ref="DB107:DB112" si="268">IF(CW107&gt;6,CX107,IF(CW107&lt;7,CX107-1))</f>
        <v>2032</v>
      </c>
      <c r="DC107" s="71" t="str">
        <f t="shared" ref="DC107:DC112" si="269">IF(AND(CV107="Hưu",BB107=3),36+AM107-(12*(DB107-AX107)+(DA107-AV107)),IF(AND(CV107="Hưu",BB107=2),24+AM107-(12*(DB107-AX107)+(DA107-AV107)),IF(AND(CV107="Hưu",BB107=1),12+AM107-(12*(DB107-AX107)+(DA107-AV107)),"- - -")))</f>
        <v>- - -</v>
      </c>
      <c r="DD107" s="72" t="str">
        <f t="shared" ref="DD107:DD112" si="270">IF(DE107&gt;0,"K.Dài",". .")</f>
        <v>. .</v>
      </c>
      <c r="DE107" s="72"/>
      <c r="DF107" s="52">
        <f t="shared" ref="DF107:DF112" si="271">IF(F107="Nam",(60+DE107)*12,IF(F107="Nữ",(55+DE107)*12,))</f>
        <v>660</v>
      </c>
      <c r="DG107" s="52">
        <f t="shared" ref="DG107:DG112" si="272">12*($CV$4-K107)+(12-I107)</f>
        <v>-23719</v>
      </c>
      <c r="DH107" s="52">
        <f t="shared" ref="DH107:DH112" si="273">$DL$4-K107</f>
        <v>-1977</v>
      </c>
      <c r="DI107" s="52" t="str">
        <f t="shared" ref="DI107:DI112" si="274">IF(AND(DH107&lt;35,F107="Nam"),"Nam dưới 35",IF(AND(DH107&lt;30,F107="Nữ"),"Nữ dưới 30",IF(AND(DH107&gt;34,DH107&lt;46,F107="Nam"),"Nam từ 35 - 45",IF(AND(DH107&gt;29,DH107&lt;41,F107="Nữ"),"Nữ từ 30 - 40",IF(AND(DH107&gt;45,DH107&lt;56,F107="Nam"),"Nam trên 45 - 55",IF(AND(DH107&gt;40,DH107&lt;51,F107="Nữ"),"Nữ trên 40 - 50",IF(AND(DH107&gt;55,F107="Nam"),"Nam trên 55","Nữ trên 50")))))))</f>
        <v>Nữ dưới 30</v>
      </c>
      <c r="DJ107" s="52"/>
      <c r="DK107" s="52"/>
      <c r="DL107" s="57" t="str">
        <f t="shared" ref="DL107:DL112" si="275">IF(DH107&lt;31,"Đến 30",IF(AND(DH107&gt;30,DH107&lt;46),"31 - 45",IF(AND(DH107&gt;45,DH107&lt;70),"Trên 45")))</f>
        <v>Đến 30</v>
      </c>
      <c r="DM107" s="65" t="str">
        <f t="shared" ref="DM107:DM112" si="276">IF(DN107&gt;0,"TD","--")</f>
        <v>TD</v>
      </c>
      <c r="DN107" s="36">
        <v>2012</v>
      </c>
      <c r="DO107" s="35"/>
      <c r="DP107" s="73"/>
      <c r="DQ107" s="36"/>
      <c r="DR107" s="84"/>
      <c r="DS107" s="85"/>
      <c r="DT107" s="86"/>
      <c r="DU107" s="76"/>
      <c r="DV107" s="91"/>
      <c r="DW107" s="37" t="s">
        <v>9</v>
      </c>
      <c r="DX107" s="391" t="s">
        <v>416</v>
      </c>
      <c r="DY107" s="37" t="s">
        <v>9</v>
      </c>
      <c r="DZ107" s="48" t="s">
        <v>342</v>
      </c>
      <c r="EA107" s="49" t="s">
        <v>360</v>
      </c>
      <c r="EB107" s="49" t="s">
        <v>342</v>
      </c>
      <c r="EC107" s="49" t="s">
        <v>360</v>
      </c>
      <c r="ED107" s="77" t="s">
        <v>378</v>
      </c>
      <c r="EE107" s="49">
        <f t="shared" ref="EE107:EE112" si="277">(DZ107+0)-(EG107+0)</f>
        <v>0</v>
      </c>
      <c r="EF107" s="78" t="str">
        <f t="shared" ref="EF107:EF112" si="278">IF(EE107&gt;0,"Sửa","- - -")</f>
        <v>- - -</v>
      </c>
      <c r="EG107" s="48" t="s">
        <v>342</v>
      </c>
      <c r="EH107" s="49" t="s">
        <v>360</v>
      </c>
      <c r="EI107" s="49" t="s">
        <v>342</v>
      </c>
      <c r="EJ107" s="49" t="s">
        <v>360</v>
      </c>
      <c r="EK107" s="77" t="s">
        <v>378</v>
      </c>
      <c r="EL107" s="35"/>
      <c r="EM107" s="55" t="str">
        <f t="shared" ref="EM107:EM112" si="279">IF(AND(BE107&gt;0.34,AO107=1,OR(BD107=6.2,BD107=5.75)),((BD107-EL107)-2*0.34),IF(AND(BE107&gt;0.33,AO107=1,OR(BD107=4.4,BD107=4)),((BD107-EL107)-2*0.33),"- - -"))</f>
        <v>- - -</v>
      </c>
      <c r="EN107" s="79" t="str">
        <f t="shared" ref="EN107:EN112" si="280">IF(CV107="Hưu",12*(DB107-AX107)+(DA107-AV107),"---")</f>
        <v>---</v>
      </c>
      <c r="EO107" s="91"/>
      <c r="EP107" s="80"/>
      <c r="EQ107" s="80"/>
      <c r="ER107" s="80"/>
      <c r="ES107" s="80"/>
      <c r="ET107" s="80"/>
      <c r="EU107" s="80"/>
      <c r="EV107" s="80"/>
      <c r="EW107" s="80"/>
      <c r="EX107" s="80"/>
      <c r="EY107" s="80"/>
      <c r="EZ107" s="80"/>
      <c r="FA107" s="80"/>
      <c r="FB107" s="80"/>
      <c r="FC107" s="80"/>
      <c r="FD107" s="80"/>
      <c r="FE107" s="80"/>
      <c r="FF107" s="80"/>
      <c r="FG107" s="80"/>
      <c r="FH107" s="80"/>
      <c r="FI107" s="80"/>
      <c r="FJ107" s="80"/>
      <c r="FK107" s="80"/>
      <c r="FL107" s="80"/>
      <c r="FM107" s="80"/>
      <c r="FN107" s="680"/>
      <c r="FO107" s="680"/>
      <c r="FP107" s="680"/>
      <c r="FQ107" s="680"/>
      <c r="FR107" s="680"/>
    </row>
    <row r="108" spans="1:174" s="80" customFormat="1" ht="11.25" customHeight="1" x14ac:dyDescent="0.2">
      <c r="A108" s="101">
        <v>676</v>
      </c>
      <c r="B108" s="517">
        <v>55</v>
      </c>
      <c r="C108" s="35"/>
      <c r="D108" s="35" t="str">
        <f t="shared" si="237"/>
        <v>Ông</v>
      </c>
      <c r="E108" s="40" t="s">
        <v>89</v>
      </c>
      <c r="F108" s="35" t="s">
        <v>379</v>
      </c>
      <c r="G108" s="64" t="s">
        <v>343</v>
      </c>
      <c r="H108" s="620" t="s">
        <v>360</v>
      </c>
      <c r="I108" s="64">
        <v>8</v>
      </c>
      <c r="J108" s="620" t="s">
        <v>360</v>
      </c>
      <c r="K108" s="40">
        <v>1963</v>
      </c>
      <c r="L108" s="193" t="s">
        <v>452</v>
      </c>
      <c r="M108" s="652" t="str">
        <f t="shared" si="238"/>
        <v>VC</v>
      </c>
      <c r="N108" s="199"/>
      <c r="O108" s="621" t="e">
        <f t="shared" si="239"/>
        <v>#N/A</v>
      </c>
      <c r="P108" s="40"/>
      <c r="Q108" s="371" t="e">
        <f>VLOOKUP(P108,'[1]- DLiêu Gốc (Không sửa)'!$C$2:$H$116,2,0)</f>
        <v>#N/A</v>
      </c>
      <c r="R108" s="40" t="s">
        <v>9</v>
      </c>
      <c r="S108" s="646" t="s">
        <v>557</v>
      </c>
      <c r="T108" s="38" t="str">
        <f>VLOOKUP(Y108,'Du lieu lien quan'!$C$2:$H$60,5,0)</f>
        <v>A1</v>
      </c>
      <c r="U108" s="39" t="str">
        <f>VLOOKUP(Y108,'Du lieu lien quan'!$C$2:$H$60,6,0)</f>
        <v>- - -</v>
      </c>
      <c r="V108" s="663" t="s">
        <v>424</v>
      </c>
      <c r="W108" s="370" t="str">
        <f t="shared" si="240"/>
        <v>Giảng viên (hạng III)</v>
      </c>
      <c r="X108" s="373" t="str">
        <f t="shared" si="241"/>
        <v>V.07.01.03</v>
      </c>
      <c r="Y108" s="397" t="s">
        <v>430</v>
      </c>
      <c r="Z108" s="397" t="str">
        <f>VLOOKUP(Y108,'Du lieu lien quan'!$C$1:$H$133,2,0)</f>
        <v>V.07.01.03</v>
      </c>
      <c r="AA108" s="52" t="str">
        <f t="shared" si="242"/>
        <v>Lương</v>
      </c>
      <c r="AB108" s="175">
        <v>6</v>
      </c>
      <c r="AC108" s="495" t="str">
        <f>IF(AD108&gt;0,"/")</f>
        <v>/</v>
      </c>
      <c r="AD108" s="43">
        <f>IF(OR(BE108=0.18,BE108=0.2),12,IF(BE108=0.31,10,IF(BE108=0.33,9,IF(BE108=0.34,8,IF(BE108=0.36,6)))))</f>
        <v>9</v>
      </c>
      <c r="AE108" s="44">
        <f>BD108+(AB108-1)*BE108</f>
        <v>3.99</v>
      </c>
      <c r="AF108" s="409"/>
      <c r="AG108" s="409"/>
      <c r="AH108" s="485"/>
      <c r="AI108" s="493" t="s">
        <v>360</v>
      </c>
      <c r="AJ108" s="109"/>
      <c r="AK108" s="493" t="s">
        <v>360</v>
      </c>
      <c r="AL108" s="486"/>
      <c r="AM108" s="162"/>
      <c r="AN108" s="53"/>
      <c r="AO108" s="45">
        <f t="shared" si="243"/>
        <v>7</v>
      </c>
      <c r="AP108" s="490" t="str">
        <f t="shared" si="244"/>
        <v>/</v>
      </c>
      <c r="AQ108" s="87">
        <f t="shared" si="245"/>
        <v>9</v>
      </c>
      <c r="AR108" s="47">
        <f t="shared" si="246"/>
        <v>4.32</v>
      </c>
      <c r="AS108" s="413"/>
      <c r="AT108" s="48" t="s">
        <v>342</v>
      </c>
      <c r="AU108" s="484" t="s">
        <v>360</v>
      </c>
      <c r="AV108" s="49" t="s">
        <v>346</v>
      </c>
      <c r="AW108" s="484" t="s">
        <v>360</v>
      </c>
      <c r="AX108" s="50">
        <v>2017</v>
      </c>
      <c r="AY108" s="91"/>
      <c r="AZ108" s="469"/>
      <c r="BA108" s="480"/>
      <c r="BB108" s="51">
        <f t="shared" si="247"/>
        <v>3</v>
      </c>
      <c r="BC108" s="328">
        <f t="shared" si="248"/>
        <v>-24212</v>
      </c>
      <c r="BD108" s="280">
        <f>VLOOKUP(Y108,'Du lieu lien quan'!$C$1:$F$60,3,0)</f>
        <v>2.34</v>
      </c>
      <c r="BE108" s="280">
        <f>VLOOKUP(Y108,'Du lieu lien quan'!$C$1:$F$60,4,0)</f>
        <v>0.33</v>
      </c>
      <c r="BF108" s="57" t="str">
        <f t="shared" si="249"/>
        <v>PCTN</v>
      </c>
      <c r="BG108" s="58">
        <v>16</v>
      </c>
      <c r="BH108" s="424" t="s">
        <v>333</v>
      </c>
      <c r="BI108" s="60" t="s">
        <v>342</v>
      </c>
      <c r="BJ108" s="1272" t="s">
        <v>360</v>
      </c>
      <c r="BK108" s="422">
        <v>5</v>
      </c>
      <c r="BL108" s="489" t="s">
        <v>360</v>
      </c>
      <c r="BM108" s="245">
        <v>2019</v>
      </c>
      <c r="BN108" s="162"/>
      <c r="BO108" s="62"/>
      <c r="BP108" s="59">
        <f t="shared" si="250"/>
        <v>17</v>
      </c>
      <c r="BQ108" s="429" t="s">
        <v>333</v>
      </c>
      <c r="BR108" s="60" t="s">
        <v>342</v>
      </c>
      <c r="BS108" s="484" t="s">
        <v>360</v>
      </c>
      <c r="BT108" s="420">
        <v>5</v>
      </c>
      <c r="BU108" s="484" t="s">
        <v>360</v>
      </c>
      <c r="BV108" s="50">
        <v>2020</v>
      </c>
      <c r="BW108" s="61"/>
      <c r="BX108" s="161">
        <v>5</v>
      </c>
      <c r="BY108" s="329">
        <f t="shared" si="251"/>
        <v>-24245</v>
      </c>
      <c r="BZ108" s="57" t="str">
        <f t="shared" si="252"/>
        <v>- - -</v>
      </c>
      <c r="CA108" s="392" t="str">
        <f t="shared" si="253"/>
        <v>Chánh Văn phòng Học viện, Trưởng Ban Tổ chức - Cán bộ, Trưởng Phân viện Học viện Hành chính Quốc gia tại Thành phố Hồ Chí Minh</v>
      </c>
      <c r="CB108" s="63" t="str">
        <f t="shared" si="254"/>
        <v>A</v>
      </c>
      <c r="CC108" s="41" t="str">
        <f t="shared" si="255"/>
        <v>=&gt; s</v>
      </c>
      <c r="CD108" s="52">
        <f t="shared" si="256"/>
        <v>24236</v>
      </c>
      <c r="CE108" s="35" t="str">
        <f t="shared" si="257"/>
        <v>---</v>
      </c>
      <c r="CF108" s="35"/>
      <c r="CG108" s="379"/>
      <c r="CH108" s="35"/>
      <c r="CI108" s="135"/>
      <c r="CJ108" s="35" t="str">
        <f t="shared" si="258"/>
        <v>- - -</v>
      </c>
      <c r="CK108" s="55" t="str">
        <f t="shared" si="259"/>
        <v>- - -</v>
      </c>
      <c r="CL108" s="65"/>
      <c r="CM108" s="66"/>
      <c r="CN108" s="65"/>
      <c r="CO108" s="84"/>
      <c r="CP108" s="55" t="str">
        <f t="shared" si="260"/>
        <v>- - -</v>
      </c>
      <c r="CQ108" s="65"/>
      <c r="CR108" s="66"/>
      <c r="CS108" s="65"/>
      <c r="CT108" s="84"/>
      <c r="CU108" s="69" t="str">
        <f t="shared" si="261"/>
        <v>---</v>
      </c>
      <c r="CV108" s="70" t="str">
        <f t="shared" si="262"/>
        <v>/-/ /-/</v>
      </c>
      <c r="CW108" s="67">
        <f t="shared" si="263"/>
        <v>9</v>
      </c>
      <c r="CX108" s="68">
        <f t="shared" si="264"/>
        <v>2023</v>
      </c>
      <c r="CY108" s="67">
        <f t="shared" si="265"/>
        <v>6</v>
      </c>
      <c r="CZ108" s="68">
        <f t="shared" si="266"/>
        <v>2023</v>
      </c>
      <c r="DA108" s="67">
        <f t="shared" si="267"/>
        <v>3</v>
      </c>
      <c r="DB108" s="68">
        <f t="shared" si="268"/>
        <v>2023</v>
      </c>
      <c r="DC108" s="71" t="str">
        <f t="shared" si="269"/>
        <v>- - -</v>
      </c>
      <c r="DD108" s="72" t="str">
        <f t="shared" si="270"/>
        <v>. .</v>
      </c>
      <c r="DE108" s="72"/>
      <c r="DF108" s="52">
        <f t="shared" si="271"/>
        <v>720</v>
      </c>
      <c r="DG108" s="52">
        <f t="shared" si="272"/>
        <v>-23552</v>
      </c>
      <c r="DH108" s="52">
        <f t="shared" si="273"/>
        <v>-1963</v>
      </c>
      <c r="DI108" s="52" t="str">
        <f t="shared" si="274"/>
        <v>Nam dưới 35</v>
      </c>
      <c r="DJ108" s="52"/>
      <c r="DK108" s="52"/>
      <c r="DL108" s="57" t="str">
        <f t="shared" si="275"/>
        <v>Đến 30</v>
      </c>
      <c r="DM108" s="65" t="str">
        <f t="shared" si="276"/>
        <v>TD</v>
      </c>
      <c r="DN108" s="36">
        <v>2009</v>
      </c>
      <c r="DO108" s="35"/>
      <c r="DP108" s="73"/>
      <c r="DQ108" s="36"/>
      <c r="DR108" s="84"/>
      <c r="DS108" s="85"/>
      <c r="DT108" s="86"/>
      <c r="DU108" s="76"/>
      <c r="DV108" s="91"/>
      <c r="DW108" s="37" t="s">
        <v>9</v>
      </c>
      <c r="DX108" s="391" t="s">
        <v>416</v>
      </c>
      <c r="DY108" s="37" t="s">
        <v>9</v>
      </c>
      <c r="DZ108" s="48" t="s">
        <v>342</v>
      </c>
      <c r="EA108" s="49" t="s">
        <v>360</v>
      </c>
      <c r="EB108" s="49" t="s">
        <v>346</v>
      </c>
      <c r="EC108" s="49" t="s">
        <v>360</v>
      </c>
      <c r="ED108" s="77" t="s">
        <v>364</v>
      </c>
      <c r="EE108" s="49">
        <f t="shared" si="277"/>
        <v>0</v>
      </c>
      <c r="EF108" s="78" t="str">
        <f t="shared" si="278"/>
        <v>- - -</v>
      </c>
      <c r="EG108" s="48" t="s">
        <v>342</v>
      </c>
      <c r="EH108" s="49" t="s">
        <v>360</v>
      </c>
      <c r="EI108" s="49" t="s">
        <v>346</v>
      </c>
      <c r="EJ108" s="49" t="s">
        <v>360</v>
      </c>
      <c r="EK108" s="77" t="s">
        <v>364</v>
      </c>
      <c r="EL108" s="35"/>
      <c r="EM108" s="55" t="str">
        <f t="shared" si="279"/>
        <v>- - -</v>
      </c>
      <c r="EN108" s="79" t="str">
        <f t="shared" si="280"/>
        <v>---</v>
      </c>
      <c r="EO108" s="91"/>
    </row>
    <row r="109" spans="1:174" s="319" customFormat="1" ht="11.25" customHeight="1" x14ac:dyDescent="0.2">
      <c r="A109" s="101">
        <v>677</v>
      </c>
      <c r="B109" s="517">
        <v>56</v>
      </c>
      <c r="C109" s="35"/>
      <c r="D109" s="35" t="str">
        <f t="shared" si="237"/>
        <v>Ông</v>
      </c>
      <c r="E109" s="40" t="s">
        <v>297</v>
      </c>
      <c r="F109" s="35" t="s">
        <v>379</v>
      </c>
      <c r="G109" s="64" t="s">
        <v>342</v>
      </c>
      <c r="H109" s="620" t="s">
        <v>360</v>
      </c>
      <c r="I109" s="64" t="s">
        <v>373</v>
      </c>
      <c r="J109" s="620" t="s">
        <v>360</v>
      </c>
      <c r="K109" s="40" t="s">
        <v>311</v>
      </c>
      <c r="L109" s="193" t="s">
        <v>452</v>
      </c>
      <c r="M109" s="652" t="str">
        <f t="shared" si="238"/>
        <v>VC</v>
      </c>
      <c r="N109" s="199"/>
      <c r="O109" s="621" t="e">
        <f t="shared" si="239"/>
        <v>#N/A</v>
      </c>
      <c r="P109" s="40"/>
      <c r="Q109" s="371" t="e">
        <f>VLOOKUP(P109,'[1]- DLiêu Gốc (Không sửa)'!$C$2:$H$116,2,0)</f>
        <v>#N/A</v>
      </c>
      <c r="R109" s="40" t="s">
        <v>9</v>
      </c>
      <c r="S109" s="646" t="s">
        <v>557</v>
      </c>
      <c r="T109" s="38" t="str">
        <f>VLOOKUP(Y109,'Du lieu lien quan'!$C$2:$H$60,5,0)</f>
        <v>A1</v>
      </c>
      <c r="U109" s="39" t="str">
        <f>VLOOKUP(Y109,'Du lieu lien quan'!$C$2:$H$60,6,0)</f>
        <v>- - -</v>
      </c>
      <c r="V109" s="663" t="s">
        <v>424</v>
      </c>
      <c r="W109" s="370" t="str">
        <f t="shared" si="240"/>
        <v>Giảng viên (hạng III)</v>
      </c>
      <c r="X109" s="373" t="str">
        <f t="shared" si="241"/>
        <v>V.07.01.03</v>
      </c>
      <c r="Y109" s="397" t="s">
        <v>430</v>
      </c>
      <c r="Z109" s="397" t="str">
        <f>VLOOKUP(Y109,'Du lieu lien quan'!$C$1:$H$133,2,0)</f>
        <v>V.07.01.03</v>
      </c>
      <c r="AA109" s="52" t="str">
        <f t="shared" si="242"/>
        <v>Lương</v>
      </c>
      <c r="AB109" s="175">
        <v>5</v>
      </c>
      <c r="AC109" s="495" t="str">
        <f>IF(AD109&gt;0,"/")</f>
        <v>/</v>
      </c>
      <c r="AD109" s="43">
        <f>IF(OR(BE109=0.18,BE109=0.2),12,IF(BE109=0.31,10,IF(BE109=0.33,9,IF(BE109=0.34,8,IF(BE109=0.36,6)))))</f>
        <v>9</v>
      </c>
      <c r="AE109" s="44">
        <f>BD109+(AB109-1)*BE109</f>
        <v>3.66</v>
      </c>
      <c r="AF109" s="409"/>
      <c r="AG109" s="409"/>
      <c r="AH109" s="48" t="s">
        <v>342</v>
      </c>
      <c r="AI109" s="493" t="s">
        <v>360</v>
      </c>
      <c r="AJ109" s="49" t="s">
        <v>343</v>
      </c>
      <c r="AK109" s="493" t="s">
        <v>360</v>
      </c>
      <c r="AL109" s="50">
        <v>2015</v>
      </c>
      <c r="AM109" s="162"/>
      <c r="AN109" s="53"/>
      <c r="AO109" s="45">
        <f t="shared" si="243"/>
        <v>6</v>
      </c>
      <c r="AP109" s="490" t="str">
        <f t="shared" si="244"/>
        <v>/</v>
      </c>
      <c r="AQ109" s="87">
        <f t="shared" si="245"/>
        <v>9</v>
      </c>
      <c r="AR109" s="47">
        <f t="shared" si="246"/>
        <v>3.99</v>
      </c>
      <c r="AS109" s="413"/>
      <c r="AT109" s="48" t="s">
        <v>342</v>
      </c>
      <c r="AU109" s="484" t="s">
        <v>360</v>
      </c>
      <c r="AV109" s="49" t="s">
        <v>343</v>
      </c>
      <c r="AW109" s="484" t="s">
        <v>360</v>
      </c>
      <c r="AX109" s="487">
        <v>2018</v>
      </c>
      <c r="AY109" s="428"/>
      <c r="AZ109" s="469"/>
      <c r="BA109" s="480">
        <v>2.1800000000000002</v>
      </c>
      <c r="BB109" s="51">
        <f t="shared" si="247"/>
        <v>3</v>
      </c>
      <c r="BC109" s="328">
        <f t="shared" si="248"/>
        <v>-24218</v>
      </c>
      <c r="BD109" s="280">
        <f>VLOOKUP(Y109,'Du lieu lien quan'!$C$1:$F$60,3,0)</f>
        <v>2.34</v>
      </c>
      <c r="BE109" s="280">
        <f>VLOOKUP(Y109,'Du lieu lien quan'!$C$1:$F$60,4,0)</f>
        <v>0.33</v>
      </c>
      <c r="BF109" s="57" t="str">
        <f t="shared" si="249"/>
        <v>PCTN</v>
      </c>
      <c r="BG109" s="58">
        <v>16</v>
      </c>
      <c r="BH109" s="424" t="s">
        <v>333</v>
      </c>
      <c r="BI109" s="60" t="s">
        <v>342</v>
      </c>
      <c r="BJ109" s="1272" t="s">
        <v>360</v>
      </c>
      <c r="BK109" s="422">
        <v>5</v>
      </c>
      <c r="BL109" s="489" t="s">
        <v>360</v>
      </c>
      <c r="BM109" s="245">
        <v>2019</v>
      </c>
      <c r="BN109" s="162"/>
      <c r="BO109" s="62"/>
      <c r="BP109" s="59">
        <f t="shared" si="250"/>
        <v>17</v>
      </c>
      <c r="BQ109" s="429" t="s">
        <v>333</v>
      </c>
      <c r="BR109" s="60" t="s">
        <v>342</v>
      </c>
      <c r="BS109" s="484" t="s">
        <v>360</v>
      </c>
      <c r="BT109" s="420">
        <v>5</v>
      </c>
      <c r="BU109" s="484" t="s">
        <v>360</v>
      </c>
      <c r="BV109" s="50">
        <v>2020</v>
      </c>
      <c r="BW109" s="61"/>
      <c r="BX109" s="161">
        <v>5</v>
      </c>
      <c r="BY109" s="329">
        <f t="shared" si="251"/>
        <v>-24245</v>
      </c>
      <c r="BZ109" s="57" t="str">
        <f t="shared" si="252"/>
        <v>- - -</v>
      </c>
      <c r="CA109" s="392" t="str">
        <f t="shared" si="253"/>
        <v>Chánh Văn phòng Học viện, Trưởng Ban Tổ chức - Cán bộ, Trưởng Phân viện Học viện Hành chính Quốc gia tại Thành phố Hồ Chí Minh</v>
      </c>
      <c r="CB109" s="63" t="str">
        <f t="shared" si="254"/>
        <v>A</v>
      </c>
      <c r="CC109" s="41" t="str">
        <f t="shared" si="255"/>
        <v>=&gt; s</v>
      </c>
      <c r="CD109" s="52">
        <f t="shared" si="256"/>
        <v>24242</v>
      </c>
      <c r="CE109" s="35" t="str">
        <f t="shared" si="257"/>
        <v>---</v>
      </c>
      <c r="CF109" s="35"/>
      <c r="CG109" s="379"/>
      <c r="CH109" s="35"/>
      <c r="CI109" s="135"/>
      <c r="CJ109" s="35" t="str">
        <f t="shared" si="258"/>
        <v>- - -</v>
      </c>
      <c r="CK109" s="55" t="str">
        <f t="shared" si="259"/>
        <v>- - -</v>
      </c>
      <c r="CL109" s="65"/>
      <c r="CM109" s="66"/>
      <c r="CN109" s="65"/>
      <c r="CO109" s="84"/>
      <c r="CP109" s="55" t="str">
        <f t="shared" si="260"/>
        <v>- - -</v>
      </c>
      <c r="CQ109" s="65"/>
      <c r="CR109" s="36"/>
      <c r="CS109" s="65"/>
      <c r="CT109" s="84"/>
      <c r="CU109" s="69" t="str">
        <f t="shared" si="261"/>
        <v>---</v>
      </c>
      <c r="CV109" s="70" t="str">
        <f t="shared" si="262"/>
        <v>/-/ /-/</v>
      </c>
      <c r="CW109" s="67">
        <f t="shared" si="263"/>
        <v>12</v>
      </c>
      <c r="CX109" s="68">
        <f t="shared" si="264"/>
        <v>2037</v>
      </c>
      <c r="CY109" s="67">
        <f t="shared" si="265"/>
        <v>9</v>
      </c>
      <c r="CZ109" s="68">
        <f t="shared" si="266"/>
        <v>2037</v>
      </c>
      <c r="DA109" s="67">
        <f t="shared" si="267"/>
        <v>6</v>
      </c>
      <c r="DB109" s="68">
        <f t="shared" si="268"/>
        <v>2037</v>
      </c>
      <c r="DC109" s="71" t="str">
        <f t="shared" si="269"/>
        <v>- - -</v>
      </c>
      <c r="DD109" s="72" t="str">
        <f t="shared" si="270"/>
        <v>. .</v>
      </c>
      <c r="DE109" s="72"/>
      <c r="DF109" s="52">
        <f t="shared" si="271"/>
        <v>720</v>
      </c>
      <c r="DG109" s="52">
        <f t="shared" si="272"/>
        <v>-23723</v>
      </c>
      <c r="DH109" s="52">
        <f t="shared" si="273"/>
        <v>-1977</v>
      </c>
      <c r="DI109" s="52" t="str">
        <f t="shared" si="274"/>
        <v>Nam dưới 35</v>
      </c>
      <c r="DJ109" s="52"/>
      <c r="DK109" s="52"/>
      <c r="DL109" s="57" t="str">
        <f t="shared" si="275"/>
        <v>Đến 30</v>
      </c>
      <c r="DM109" s="65" t="str">
        <f t="shared" si="276"/>
        <v>TD</v>
      </c>
      <c r="DN109" s="36">
        <v>2009</v>
      </c>
      <c r="DO109" s="35"/>
      <c r="DP109" s="73"/>
      <c r="DQ109" s="36"/>
      <c r="DR109" s="84"/>
      <c r="DS109" s="85"/>
      <c r="DT109" s="86"/>
      <c r="DU109" s="76"/>
      <c r="DV109" s="91"/>
      <c r="DW109" s="37" t="s">
        <v>9</v>
      </c>
      <c r="DX109" s="391" t="s">
        <v>416</v>
      </c>
      <c r="DY109" s="37" t="s">
        <v>9</v>
      </c>
      <c r="DZ109" s="48" t="s">
        <v>342</v>
      </c>
      <c r="EA109" s="49" t="s">
        <v>360</v>
      </c>
      <c r="EB109" s="49" t="s">
        <v>343</v>
      </c>
      <c r="EC109" s="49" t="s">
        <v>360</v>
      </c>
      <c r="ED109" s="77" t="s">
        <v>378</v>
      </c>
      <c r="EE109" s="49">
        <f t="shared" si="277"/>
        <v>0</v>
      </c>
      <c r="EF109" s="78" t="str">
        <f t="shared" si="278"/>
        <v>- - -</v>
      </c>
      <c r="EG109" s="48" t="s">
        <v>342</v>
      </c>
      <c r="EH109" s="49" t="s">
        <v>360</v>
      </c>
      <c r="EI109" s="49" t="s">
        <v>343</v>
      </c>
      <c r="EJ109" s="49" t="s">
        <v>360</v>
      </c>
      <c r="EK109" s="77" t="s">
        <v>378</v>
      </c>
      <c r="EL109" s="35"/>
      <c r="EM109" s="55" t="str">
        <f t="shared" si="279"/>
        <v>- - -</v>
      </c>
      <c r="EN109" s="79" t="str">
        <f t="shared" si="280"/>
        <v>---</v>
      </c>
      <c r="EO109" s="91"/>
      <c r="EP109" s="80"/>
      <c r="EQ109" s="80"/>
      <c r="ER109" s="80"/>
      <c r="ES109" s="80"/>
      <c r="ET109" s="80"/>
      <c r="EU109" s="80"/>
      <c r="EV109" s="80"/>
      <c r="EW109" s="80"/>
      <c r="EX109" s="80"/>
      <c r="EY109" s="80"/>
      <c r="EZ109" s="80"/>
      <c r="FA109" s="80"/>
      <c r="FB109" s="80"/>
      <c r="FC109" s="80"/>
      <c r="FD109" s="80"/>
      <c r="FE109" s="80"/>
      <c r="FF109" s="80"/>
      <c r="FG109" s="80"/>
      <c r="FH109" s="80"/>
      <c r="FI109" s="80"/>
      <c r="FJ109" s="80"/>
      <c r="FK109" s="80"/>
      <c r="FL109" s="80"/>
      <c r="FM109" s="80"/>
      <c r="FN109" s="80"/>
      <c r="FO109" s="80"/>
      <c r="FP109" s="80"/>
      <c r="FQ109" s="80"/>
      <c r="FR109" s="80"/>
    </row>
    <row r="110" spans="1:174" s="680" customFormat="1" ht="11.25" customHeight="1" x14ac:dyDescent="0.25">
      <c r="A110" s="101">
        <v>694</v>
      </c>
      <c r="B110" s="517">
        <v>57</v>
      </c>
      <c r="C110" s="35"/>
      <c r="D110" s="35" t="str">
        <f t="shared" si="237"/>
        <v>Bà</v>
      </c>
      <c r="E110" s="40" t="s">
        <v>85</v>
      </c>
      <c r="F110" s="35" t="s">
        <v>381</v>
      </c>
      <c r="G110" s="64" t="s">
        <v>350</v>
      </c>
      <c r="H110" s="620" t="s">
        <v>360</v>
      </c>
      <c r="I110" s="64">
        <v>9</v>
      </c>
      <c r="J110" s="620" t="s">
        <v>360</v>
      </c>
      <c r="K110" s="40">
        <v>1969</v>
      </c>
      <c r="L110" s="193" t="s">
        <v>452</v>
      </c>
      <c r="M110" s="652" t="str">
        <f t="shared" si="238"/>
        <v>VC</v>
      </c>
      <c r="N110" s="199"/>
      <c r="O110" s="621" t="e">
        <f t="shared" si="239"/>
        <v>#N/A</v>
      </c>
      <c r="P110" s="40"/>
      <c r="Q110" s="371" t="e">
        <f>VLOOKUP(P110,'[1]- DLiêu Gốc (Không sửa)'!$C$2:$H$116,2,0)</f>
        <v>#N/A</v>
      </c>
      <c r="R110" s="650" t="s">
        <v>382</v>
      </c>
      <c r="S110" s="646" t="s">
        <v>557</v>
      </c>
      <c r="T110" s="38" t="str">
        <f>VLOOKUP(Y110,'Du lieu lien quan'!$C$2:$H$60,5,0)</f>
        <v>A1</v>
      </c>
      <c r="U110" s="39" t="str">
        <f>VLOOKUP(Y110,'Du lieu lien quan'!$C$2:$H$60,6,0)</f>
        <v>- - -</v>
      </c>
      <c r="V110" s="663" t="s">
        <v>424</v>
      </c>
      <c r="W110" s="370" t="str">
        <f t="shared" si="240"/>
        <v>Giảng viên (hạng III)</v>
      </c>
      <c r="X110" s="98" t="str">
        <f t="shared" si="241"/>
        <v>V.07.01.03</v>
      </c>
      <c r="Y110" s="397" t="s">
        <v>430</v>
      </c>
      <c r="Z110" s="397" t="str">
        <f>VLOOKUP(Y110,'Du lieu lien quan'!$C$1:$H$133,2,0)</f>
        <v>V.07.01.03</v>
      </c>
      <c r="AA110" s="52" t="str">
        <f t="shared" si="242"/>
        <v>Lương</v>
      </c>
      <c r="AB110" s="175">
        <v>7</v>
      </c>
      <c r="AC110" s="495" t="s">
        <v>360</v>
      </c>
      <c r="AD110" s="43">
        <v>9</v>
      </c>
      <c r="AE110" s="54">
        <v>4.32</v>
      </c>
      <c r="AF110" s="411"/>
      <c r="AG110" s="411"/>
      <c r="AH110" s="506" t="s">
        <v>342</v>
      </c>
      <c r="AI110" s="493" t="s">
        <v>360</v>
      </c>
      <c r="AJ110" s="46" t="s">
        <v>343</v>
      </c>
      <c r="AK110" s="493" t="s">
        <v>360</v>
      </c>
      <c r="AL110" s="874">
        <v>2017</v>
      </c>
      <c r="AM110" s="149"/>
      <c r="AN110" s="53"/>
      <c r="AO110" s="45">
        <f t="shared" si="243"/>
        <v>8</v>
      </c>
      <c r="AP110" s="490" t="str">
        <f t="shared" si="244"/>
        <v>/</v>
      </c>
      <c r="AQ110" s="87">
        <f t="shared" si="245"/>
        <v>9</v>
      </c>
      <c r="AR110" s="47">
        <f t="shared" si="246"/>
        <v>4.6500000000000004</v>
      </c>
      <c r="AS110" s="413"/>
      <c r="AT110" s="48" t="s">
        <v>342</v>
      </c>
      <c r="AU110" s="484" t="s">
        <v>360</v>
      </c>
      <c r="AV110" s="49" t="s">
        <v>343</v>
      </c>
      <c r="AW110" s="484" t="s">
        <v>360</v>
      </c>
      <c r="AX110" s="288">
        <v>2020</v>
      </c>
      <c r="AY110" s="91"/>
      <c r="AZ110" s="266"/>
      <c r="BA110" s="480"/>
      <c r="BB110" s="51">
        <f t="shared" si="247"/>
        <v>3</v>
      </c>
      <c r="BC110" s="328">
        <f t="shared" si="248"/>
        <v>-24242</v>
      </c>
      <c r="BD110" s="280">
        <f>VLOOKUP(Y110,'Du lieu lien quan'!$C$1:$F$60,3,0)</f>
        <v>2.34</v>
      </c>
      <c r="BE110" s="280">
        <f>VLOOKUP(Y110,'Du lieu lien quan'!$C$1:$F$60,4,0)</f>
        <v>0.33</v>
      </c>
      <c r="BF110" s="57" t="str">
        <f t="shared" si="249"/>
        <v>PCTN</v>
      </c>
      <c r="BG110" s="58">
        <v>16</v>
      </c>
      <c r="BH110" s="424" t="s">
        <v>333</v>
      </c>
      <c r="BI110" s="60" t="s">
        <v>342</v>
      </c>
      <c r="BJ110" s="1272" t="s">
        <v>360</v>
      </c>
      <c r="BK110" s="422">
        <v>5</v>
      </c>
      <c r="BL110" s="489" t="s">
        <v>360</v>
      </c>
      <c r="BM110" s="245">
        <v>2019</v>
      </c>
      <c r="BN110" s="149"/>
      <c r="BO110" s="62"/>
      <c r="BP110" s="59">
        <f t="shared" si="250"/>
        <v>17</v>
      </c>
      <c r="BQ110" s="429" t="s">
        <v>333</v>
      </c>
      <c r="BR110" s="60" t="s">
        <v>342</v>
      </c>
      <c r="BS110" s="484" t="s">
        <v>360</v>
      </c>
      <c r="BT110" s="420">
        <v>5</v>
      </c>
      <c r="BU110" s="484" t="s">
        <v>360</v>
      </c>
      <c r="BV110" s="50">
        <v>2020</v>
      </c>
      <c r="BW110" s="61"/>
      <c r="BX110" s="161">
        <v>5</v>
      </c>
      <c r="BY110" s="329">
        <f t="shared" si="251"/>
        <v>-24245</v>
      </c>
      <c r="BZ110" s="57" t="str">
        <f t="shared" si="252"/>
        <v>- - -</v>
      </c>
      <c r="CA110" s="392" t="str">
        <f t="shared" si="253"/>
        <v>Chánh Văn phòng Học viện, Trưởng Ban Tổ chức - Cán bộ, Trưởng Phân viện Học viện Hành chính Quốc gia tại Thành phố Hồ Chí Minh</v>
      </c>
      <c r="CB110" s="63" t="str">
        <f t="shared" si="254"/>
        <v>A</v>
      </c>
      <c r="CC110" s="41" t="str">
        <f t="shared" si="255"/>
        <v>=&gt; s</v>
      </c>
      <c r="CD110" s="52">
        <f t="shared" si="256"/>
        <v>24266</v>
      </c>
      <c r="CE110" s="35" t="str">
        <f t="shared" si="257"/>
        <v>---</v>
      </c>
      <c r="CF110" s="35"/>
      <c r="CG110" s="242"/>
      <c r="CH110" s="35"/>
      <c r="CI110" s="35"/>
      <c r="CJ110" s="35" t="str">
        <f t="shared" si="258"/>
        <v>- - -</v>
      </c>
      <c r="CK110" s="55" t="str">
        <f t="shared" si="259"/>
        <v>- - -</v>
      </c>
      <c r="CL110" s="65"/>
      <c r="CM110" s="66"/>
      <c r="CN110" s="65"/>
      <c r="CO110" s="84"/>
      <c r="CP110" s="55" t="str">
        <f t="shared" si="260"/>
        <v>- - -</v>
      </c>
      <c r="CQ110" s="65"/>
      <c r="CR110" s="66"/>
      <c r="CS110" s="65"/>
      <c r="CT110" s="84"/>
      <c r="CU110" s="69" t="str">
        <f t="shared" si="261"/>
        <v>---</v>
      </c>
      <c r="CV110" s="70" t="str">
        <f t="shared" si="262"/>
        <v>/-/ /-/</v>
      </c>
      <c r="CW110" s="67">
        <f t="shared" si="263"/>
        <v>10</v>
      </c>
      <c r="CX110" s="68">
        <f t="shared" si="264"/>
        <v>2024</v>
      </c>
      <c r="CY110" s="67">
        <f t="shared" si="265"/>
        <v>7</v>
      </c>
      <c r="CZ110" s="68">
        <f t="shared" si="266"/>
        <v>2024</v>
      </c>
      <c r="DA110" s="67">
        <f t="shared" si="267"/>
        <v>4</v>
      </c>
      <c r="DB110" s="68">
        <f t="shared" si="268"/>
        <v>2024</v>
      </c>
      <c r="DC110" s="71" t="str">
        <f t="shared" si="269"/>
        <v>- - -</v>
      </c>
      <c r="DD110" s="72" t="str">
        <f t="shared" si="270"/>
        <v>. .</v>
      </c>
      <c r="DE110" s="380"/>
      <c r="DF110" s="52">
        <f t="shared" si="271"/>
        <v>660</v>
      </c>
      <c r="DG110" s="52">
        <f t="shared" si="272"/>
        <v>-23625</v>
      </c>
      <c r="DH110" s="52">
        <f t="shared" si="273"/>
        <v>-1969</v>
      </c>
      <c r="DI110" s="52" t="str">
        <f t="shared" si="274"/>
        <v>Nữ dưới 30</v>
      </c>
      <c r="DJ110" s="52"/>
      <c r="DK110" s="52"/>
      <c r="DL110" s="57" t="str">
        <f t="shared" si="275"/>
        <v>Đến 30</v>
      </c>
      <c r="DM110" s="65" t="str">
        <f t="shared" si="276"/>
        <v>TD</v>
      </c>
      <c r="DN110" s="36">
        <v>2009</v>
      </c>
      <c r="DO110" s="35"/>
      <c r="DP110" s="56"/>
      <c r="DQ110" s="84"/>
      <c r="DR110" s="84"/>
      <c r="DS110" s="378"/>
      <c r="DT110" s="372"/>
      <c r="DU110" s="76"/>
      <c r="DV110" s="91"/>
      <c r="DW110" s="201" t="s">
        <v>382</v>
      </c>
      <c r="DX110" s="391" t="s">
        <v>416</v>
      </c>
      <c r="DY110" s="37" t="s">
        <v>382</v>
      </c>
      <c r="DZ110" s="375" t="s">
        <v>342</v>
      </c>
      <c r="EA110" s="49" t="s">
        <v>360</v>
      </c>
      <c r="EB110" s="49" t="s">
        <v>343</v>
      </c>
      <c r="EC110" s="49" t="s">
        <v>360</v>
      </c>
      <c r="ED110" s="77" t="s">
        <v>364</v>
      </c>
      <c r="EE110" s="49">
        <f t="shared" si="277"/>
        <v>0</v>
      </c>
      <c r="EF110" s="78" t="str">
        <f t="shared" si="278"/>
        <v>- - -</v>
      </c>
      <c r="EG110" s="375" t="s">
        <v>342</v>
      </c>
      <c r="EH110" s="49" t="s">
        <v>360</v>
      </c>
      <c r="EI110" s="49" t="s">
        <v>343</v>
      </c>
      <c r="EJ110" s="49" t="s">
        <v>360</v>
      </c>
      <c r="EK110" s="77" t="s">
        <v>364</v>
      </c>
      <c r="EL110" s="35"/>
      <c r="EM110" s="55" t="str">
        <f t="shared" si="279"/>
        <v>- - -</v>
      </c>
      <c r="EN110" s="79" t="str">
        <f t="shared" si="280"/>
        <v>---</v>
      </c>
      <c r="EO110" s="91"/>
      <c r="EP110" s="80"/>
      <c r="EQ110" s="80"/>
      <c r="ER110" s="80"/>
      <c r="ES110" s="80"/>
      <c r="ET110" s="80"/>
      <c r="EU110" s="80"/>
      <c r="EV110" s="80"/>
      <c r="EW110" s="80"/>
      <c r="EX110" s="80"/>
      <c r="EY110" s="80"/>
      <c r="EZ110" s="80"/>
      <c r="FA110" s="80"/>
      <c r="FB110" s="80"/>
      <c r="FC110" s="80"/>
      <c r="FD110" s="80"/>
      <c r="FE110" s="80"/>
      <c r="FF110" s="80"/>
      <c r="FG110" s="80"/>
      <c r="FH110" s="80"/>
      <c r="FI110" s="80"/>
      <c r="FJ110" s="80"/>
      <c r="FK110" s="80"/>
      <c r="FL110" s="80"/>
      <c r="FM110" s="80"/>
      <c r="FN110" s="80"/>
      <c r="FO110" s="80"/>
      <c r="FP110" s="80"/>
      <c r="FQ110" s="80"/>
      <c r="FR110" s="80"/>
    </row>
    <row r="111" spans="1:174" s="80" customFormat="1" ht="11.25" customHeight="1" x14ac:dyDescent="0.2">
      <c r="A111" s="101">
        <v>696</v>
      </c>
      <c r="B111" s="517">
        <v>58</v>
      </c>
      <c r="C111" s="35"/>
      <c r="D111" s="35" t="str">
        <f t="shared" si="237"/>
        <v>Bà</v>
      </c>
      <c r="E111" s="40" t="s">
        <v>142</v>
      </c>
      <c r="F111" s="35" t="s">
        <v>381</v>
      </c>
      <c r="G111" s="64" t="s">
        <v>287</v>
      </c>
      <c r="H111" s="620" t="s">
        <v>360</v>
      </c>
      <c r="I111" s="64">
        <v>5</v>
      </c>
      <c r="J111" s="620" t="s">
        <v>360</v>
      </c>
      <c r="K111" s="40">
        <v>1977</v>
      </c>
      <c r="L111" s="193" t="s">
        <v>452</v>
      </c>
      <c r="M111" s="652" t="str">
        <f t="shared" si="238"/>
        <v>VC</v>
      </c>
      <c r="N111" s="199"/>
      <c r="O111" s="621" t="e">
        <f t="shared" si="239"/>
        <v>#VALUE!</v>
      </c>
      <c r="P111" s="40" t="s">
        <v>256</v>
      </c>
      <c r="Q111" s="371" t="str">
        <f>VLOOKUP(P111,'[1]- DLiêu Gốc (Không sửa)'!$C$2:$H$116,2,0)</f>
        <v>0,4</v>
      </c>
      <c r="R111" s="650" t="s">
        <v>382</v>
      </c>
      <c r="S111" s="646" t="s">
        <v>557</v>
      </c>
      <c r="T111" s="38" t="str">
        <f>VLOOKUP(Y111,'Du lieu lien quan'!$C$2:$H$60,5,0)</f>
        <v>A1</v>
      </c>
      <c r="U111" s="39" t="str">
        <f>VLOOKUP(Y111,'Du lieu lien quan'!$C$2:$H$60,6,0)</f>
        <v>- - -</v>
      </c>
      <c r="V111" s="663" t="s">
        <v>424</v>
      </c>
      <c r="W111" s="370" t="str">
        <f t="shared" si="240"/>
        <v>Giảng viên (hạng III)</v>
      </c>
      <c r="X111" s="373" t="str">
        <f t="shared" si="241"/>
        <v>V.07.01.03</v>
      </c>
      <c r="Y111" s="397" t="s">
        <v>430</v>
      </c>
      <c r="Z111" s="397" t="str">
        <f>VLOOKUP(Y111,'Du lieu lien quan'!$C$1:$H$133,2,0)</f>
        <v>V.07.01.03</v>
      </c>
      <c r="AA111" s="52" t="str">
        <f t="shared" si="242"/>
        <v>Lương</v>
      </c>
      <c r="AB111" s="175">
        <v>6</v>
      </c>
      <c r="AC111" s="495" t="s">
        <v>360</v>
      </c>
      <c r="AD111" s="43">
        <v>9</v>
      </c>
      <c r="AE111" s="44">
        <v>3.99</v>
      </c>
      <c r="AF111" s="409"/>
      <c r="AG111" s="409"/>
      <c r="AH111" s="700" t="s">
        <v>342</v>
      </c>
      <c r="AI111" s="699" t="s">
        <v>360</v>
      </c>
      <c r="AJ111" s="695" t="s">
        <v>350</v>
      </c>
      <c r="AK111" s="699" t="s">
        <v>360</v>
      </c>
      <c r="AL111" s="876">
        <v>2017</v>
      </c>
      <c r="AM111" s="162"/>
      <c r="AN111" s="53"/>
      <c r="AO111" s="45">
        <f t="shared" si="243"/>
        <v>7</v>
      </c>
      <c r="AP111" s="490" t="str">
        <f t="shared" si="244"/>
        <v>/</v>
      </c>
      <c r="AQ111" s="87">
        <f t="shared" si="245"/>
        <v>9</v>
      </c>
      <c r="AR111" s="47">
        <f t="shared" si="246"/>
        <v>4.32</v>
      </c>
      <c r="AS111" s="413"/>
      <c r="AT111" s="48" t="s">
        <v>342</v>
      </c>
      <c r="AU111" s="484" t="s">
        <v>360</v>
      </c>
      <c r="AV111" s="49" t="s">
        <v>17</v>
      </c>
      <c r="AW111" s="484" t="s">
        <v>360</v>
      </c>
      <c r="AX111" s="50">
        <v>2020</v>
      </c>
      <c r="AY111" s="91"/>
      <c r="AZ111" s="266" t="s">
        <v>597</v>
      </c>
      <c r="BA111" s="480"/>
      <c r="BB111" s="51">
        <f t="shared" si="247"/>
        <v>3</v>
      </c>
      <c r="BC111" s="328">
        <f t="shared" si="248"/>
        <v>-24246</v>
      </c>
      <c r="BD111" s="280">
        <f>VLOOKUP(Y111,'Du lieu lien quan'!$C$1:$F$60,3,0)</f>
        <v>2.34</v>
      </c>
      <c r="BE111" s="280">
        <f>VLOOKUP(Y111,'Du lieu lien quan'!$C$1:$F$60,4,0)</f>
        <v>0.33</v>
      </c>
      <c r="BF111" s="57" t="str">
        <f t="shared" si="249"/>
        <v>PCTN</v>
      </c>
      <c r="BG111" s="58">
        <v>16</v>
      </c>
      <c r="BH111" s="424" t="s">
        <v>333</v>
      </c>
      <c r="BI111" s="60" t="s">
        <v>342</v>
      </c>
      <c r="BJ111" s="1272" t="s">
        <v>360</v>
      </c>
      <c r="BK111" s="422">
        <v>5</v>
      </c>
      <c r="BL111" s="489" t="s">
        <v>360</v>
      </c>
      <c r="BM111" s="245">
        <v>2019</v>
      </c>
      <c r="BN111" s="162"/>
      <c r="BO111" s="62"/>
      <c r="BP111" s="59">
        <f t="shared" si="250"/>
        <v>17</v>
      </c>
      <c r="BQ111" s="429" t="s">
        <v>333</v>
      </c>
      <c r="BR111" s="60" t="s">
        <v>342</v>
      </c>
      <c r="BS111" s="484" t="s">
        <v>360</v>
      </c>
      <c r="BT111" s="420">
        <v>5</v>
      </c>
      <c r="BU111" s="484" t="s">
        <v>360</v>
      </c>
      <c r="BV111" s="50">
        <v>2020</v>
      </c>
      <c r="BW111" s="61"/>
      <c r="BX111" s="161">
        <v>5</v>
      </c>
      <c r="BY111" s="329">
        <f t="shared" si="251"/>
        <v>-24245</v>
      </c>
      <c r="BZ111" s="57" t="str">
        <f t="shared" si="252"/>
        <v>- - -</v>
      </c>
      <c r="CA111" s="392" t="str">
        <f t="shared" si="253"/>
        <v>Chánh Văn phòng Học viện, Trưởng Ban Tổ chức - Cán bộ, Trưởng Phân viện Học viện Hành chính Quốc gia tại Thành phố Hồ Chí Minh</v>
      </c>
      <c r="CB111" s="63" t="str">
        <f t="shared" si="254"/>
        <v>A</v>
      </c>
      <c r="CC111" s="41" t="str">
        <f t="shared" si="255"/>
        <v>=&gt; s</v>
      </c>
      <c r="CD111" s="52">
        <f t="shared" si="256"/>
        <v>24270</v>
      </c>
      <c r="CE111" s="35" t="str">
        <f t="shared" si="257"/>
        <v>---</v>
      </c>
      <c r="CF111" s="35"/>
      <c r="CG111" s="379"/>
      <c r="CH111" s="35"/>
      <c r="CI111" s="135"/>
      <c r="CJ111" s="35" t="str">
        <f t="shared" si="258"/>
        <v>- - -</v>
      </c>
      <c r="CK111" s="55" t="str">
        <f t="shared" si="259"/>
        <v>- - -</v>
      </c>
      <c r="CL111" s="65"/>
      <c r="CM111" s="66"/>
      <c r="CN111" s="65"/>
      <c r="CO111" s="84"/>
      <c r="CP111" s="55" t="str">
        <f t="shared" si="260"/>
        <v>- - -</v>
      </c>
      <c r="CQ111" s="65"/>
      <c r="CR111" s="66"/>
      <c r="CS111" s="65"/>
      <c r="CT111" s="84"/>
      <c r="CU111" s="69" t="str">
        <f t="shared" si="261"/>
        <v>---</v>
      </c>
      <c r="CV111" s="70" t="str">
        <f t="shared" si="262"/>
        <v>/-/ /-/</v>
      </c>
      <c r="CW111" s="67">
        <f t="shared" si="263"/>
        <v>6</v>
      </c>
      <c r="CX111" s="68">
        <f t="shared" si="264"/>
        <v>2032</v>
      </c>
      <c r="CY111" s="67">
        <f t="shared" si="265"/>
        <v>3</v>
      </c>
      <c r="CZ111" s="68">
        <f t="shared" si="266"/>
        <v>2032</v>
      </c>
      <c r="DA111" s="67">
        <f t="shared" si="267"/>
        <v>12</v>
      </c>
      <c r="DB111" s="68">
        <f t="shared" si="268"/>
        <v>2031</v>
      </c>
      <c r="DC111" s="71" t="str">
        <f t="shared" si="269"/>
        <v>- - -</v>
      </c>
      <c r="DD111" s="72" t="str">
        <f t="shared" si="270"/>
        <v>. .</v>
      </c>
      <c r="DE111" s="72"/>
      <c r="DF111" s="52">
        <f t="shared" si="271"/>
        <v>660</v>
      </c>
      <c r="DG111" s="52">
        <f t="shared" si="272"/>
        <v>-23717</v>
      </c>
      <c r="DH111" s="52">
        <f t="shared" si="273"/>
        <v>-1977</v>
      </c>
      <c r="DI111" s="52" t="str">
        <f t="shared" si="274"/>
        <v>Nữ dưới 30</v>
      </c>
      <c r="DJ111" s="52"/>
      <c r="DK111" s="52"/>
      <c r="DL111" s="57" t="str">
        <f t="shared" si="275"/>
        <v>Đến 30</v>
      </c>
      <c r="DM111" s="65" t="str">
        <f t="shared" si="276"/>
        <v>TD</v>
      </c>
      <c r="DN111" s="36">
        <v>2008</v>
      </c>
      <c r="DO111" s="35"/>
      <c r="DP111" s="73"/>
      <c r="DQ111" s="36"/>
      <c r="DR111" s="84"/>
      <c r="DS111" s="85"/>
      <c r="DT111" s="86"/>
      <c r="DU111" s="76"/>
      <c r="DV111" s="91"/>
      <c r="DW111" s="201" t="s">
        <v>382</v>
      </c>
      <c r="DX111" s="391" t="s">
        <v>416</v>
      </c>
      <c r="DY111" s="37" t="s">
        <v>9</v>
      </c>
      <c r="DZ111" s="48" t="s">
        <v>342</v>
      </c>
      <c r="EA111" s="49" t="s">
        <v>360</v>
      </c>
      <c r="EB111" s="49" t="s">
        <v>350</v>
      </c>
      <c r="EC111" s="49" t="s">
        <v>360</v>
      </c>
      <c r="ED111" s="77" t="s">
        <v>364</v>
      </c>
      <c r="EE111" s="49">
        <f t="shared" si="277"/>
        <v>0</v>
      </c>
      <c r="EF111" s="78" t="str">
        <f t="shared" si="278"/>
        <v>- - -</v>
      </c>
      <c r="EG111" s="48" t="s">
        <v>342</v>
      </c>
      <c r="EH111" s="49" t="s">
        <v>360</v>
      </c>
      <c r="EI111" s="49" t="s">
        <v>350</v>
      </c>
      <c r="EJ111" s="49" t="s">
        <v>360</v>
      </c>
      <c r="EK111" s="77" t="s">
        <v>364</v>
      </c>
      <c r="EL111" s="35"/>
      <c r="EM111" s="55" t="str">
        <f t="shared" si="279"/>
        <v>- - -</v>
      </c>
      <c r="EN111" s="79" t="str">
        <f t="shared" si="280"/>
        <v>---</v>
      </c>
      <c r="EO111" s="91"/>
    </row>
    <row r="112" spans="1:174" s="80" customFormat="1" ht="11.25" customHeight="1" x14ac:dyDescent="0.25">
      <c r="A112" s="101">
        <v>703</v>
      </c>
      <c r="B112" s="517">
        <v>59</v>
      </c>
      <c r="C112" s="649"/>
      <c r="D112" s="649" t="str">
        <f t="shared" si="237"/>
        <v>Ông</v>
      </c>
      <c r="E112" s="650" t="s">
        <v>295</v>
      </c>
      <c r="F112" s="649" t="s">
        <v>379</v>
      </c>
      <c r="G112" s="635" t="s">
        <v>276</v>
      </c>
      <c r="H112" s="247" t="s">
        <v>360</v>
      </c>
      <c r="I112" s="635">
        <v>8</v>
      </c>
      <c r="J112" s="247" t="s">
        <v>360</v>
      </c>
      <c r="K112" s="650">
        <v>1978</v>
      </c>
      <c r="L112" s="193" t="s">
        <v>452</v>
      </c>
      <c r="M112" s="652" t="str">
        <f t="shared" si="238"/>
        <v>VC</v>
      </c>
      <c r="N112" s="199"/>
      <c r="O112" s="621" t="e">
        <f t="shared" si="239"/>
        <v>#VALUE!</v>
      </c>
      <c r="P112" s="650" t="s">
        <v>255</v>
      </c>
      <c r="Q112" s="371" t="str">
        <f>VLOOKUP(P112,'[1]- DLiêu Gốc (Không sửa)'!$C$2:$H$116,2,0)</f>
        <v>0,6</v>
      </c>
      <c r="R112" s="650" t="s">
        <v>570</v>
      </c>
      <c r="S112" s="646" t="s">
        <v>557</v>
      </c>
      <c r="T112" s="186" t="str">
        <f>VLOOKUP(Y112,'Du lieu lien quan'!$C$2:$H$60,5,0)</f>
        <v>A2</v>
      </c>
      <c r="U112" s="187" t="str">
        <f>VLOOKUP(Y112,'Du lieu lien quan'!$C$2:$H$60,6,0)</f>
        <v>A2.1</v>
      </c>
      <c r="V112" s="663" t="s">
        <v>424</v>
      </c>
      <c r="W112" s="370" t="str">
        <f t="shared" si="240"/>
        <v>Giảng viên chính (hạng II)</v>
      </c>
      <c r="X112" s="663" t="str">
        <f t="shared" si="241"/>
        <v>V.07.01.02</v>
      </c>
      <c r="Y112" s="397" t="s">
        <v>431</v>
      </c>
      <c r="Z112" s="397" t="str">
        <f>VLOOKUP(Y112,'Du lieu lien quan'!$C$1:$H$133,2,0)</f>
        <v>V.07.01.02</v>
      </c>
      <c r="AA112" s="652" t="str">
        <f t="shared" si="242"/>
        <v>Lương</v>
      </c>
      <c r="AB112" s="188">
        <v>0</v>
      </c>
      <c r="AC112" s="497" t="str">
        <f>IF(AD112&gt;0,"/")</f>
        <v>/</v>
      </c>
      <c r="AD112" s="189">
        <v>1</v>
      </c>
      <c r="AE112" s="653">
        <f>BD112+(AB112-1)*BE112</f>
        <v>4.0600000000000005</v>
      </c>
      <c r="AF112" s="410"/>
      <c r="AG112" s="410"/>
      <c r="AH112" s="529"/>
      <c r="AI112" s="493" t="s">
        <v>360</v>
      </c>
      <c r="AJ112" s="191"/>
      <c r="AK112" s="493" t="s">
        <v>360</v>
      </c>
      <c r="AL112" s="881"/>
      <c r="AM112" s="657"/>
      <c r="AN112" s="195"/>
      <c r="AO112" s="190">
        <f t="shared" si="243"/>
        <v>1</v>
      </c>
      <c r="AP112" s="498" t="str">
        <f t="shared" si="244"/>
        <v>/</v>
      </c>
      <c r="AQ112" s="192">
        <f t="shared" si="245"/>
        <v>1</v>
      </c>
      <c r="AR112" s="193">
        <f t="shared" si="246"/>
        <v>4.4000000000000004</v>
      </c>
      <c r="AS112" s="415"/>
      <c r="AT112" s="654" t="s">
        <v>342</v>
      </c>
      <c r="AU112" s="687" t="s">
        <v>360</v>
      </c>
      <c r="AV112" s="655" t="s">
        <v>377</v>
      </c>
      <c r="AW112" s="687" t="s">
        <v>360</v>
      </c>
      <c r="AX112" s="681">
        <v>2018</v>
      </c>
      <c r="AY112" s="676"/>
      <c r="AZ112" s="476"/>
      <c r="BA112" s="479"/>
      <c r="BB112" s="656">
        <f t="shared" si="247"/>
        <v>3</v>
      </c>
      <c r="BC112" s="328">
        <f t="shared" si="248"/>
        <v>-24220</v>
      </c>
      <c r="BD112" s="280">
        <f>VLOOKUP(Y112,'Du lieu lien quan'!$C$1:$F$60,3,0)</f>
        <v>4.4000000000000004</v>
      </c>
      <c r="BE112" s="280">
        <f>VLOOKUP(Y112,'Du lieu lien quan'!$C$1:$F$60,4,0)</f>
        <v>0.34</v>
      </c>
      <c r="BF112" s="658" t="str">
        <f t="shared" si="249"/>
        <v>PCTN</v>
      </c>
      <c r="BG112" s="660">
        <v>16</v>
      </c>
      <c r="BH112" s="686" t="s">
        <v>333</v>
      </c>
      <c r="BI112" s="60" t="s">
        <v>342</v>
      </c>
      <c r="BJ112" s="1272" t="s">
        <v>360</v>
      </c>
      <c r="BK112" s="422">
        <v>5</v>
      </c>
      <c r="BL112" s="489" t="s">
        <v>360</v>
      </c>
      <c r="BM112" s="245">
        <v>2019</v>
      </c>
      <c r="BN112" s="657"/>
      <c r="BO112" s="198"/>
      <c r="BP112" s="660">
        <f t="shared" si="250"/>
        <v>17</v>
      </c>
      <c r="BQ112" s="430" t="s">
        <v>333</v>
      </c>
      <c r="BR112" s="60" t="s">
        <v>342</v>
      </c>
      <c r="BS112" s="687" t="s">
        <v>360</v>
      </c>
      <c r="BT112" s="685">
        <v>5</v>
      </c>
      <c r="BU112" s="687" t="s">
        <v>360</v>
      </c>
      <c r="BV112" s="50">
        <v>2020</v>
      </c>
      <c r="BW112" s="197"/>
      <c r="BX112" s="161">
        <v>5</v>
      </c>
      <c r="BY112" s="329">
        <f t="shared" si="251"/>
        <v>-24245</v>
      </c>
      <c r="BZ112" s="658" t="str">
        <f t="shared" si="252"/>
        <v>- - -</v>
      </c>
      <c r="CA112" s="392" t="str">
        <f t="shared" si="253"/>
        <v>Chánh Văn phòng Học viện, Trưởng Ban Tổ chức - Cán bộ, Trưởng Phân viện Học viện Hành chính Quốc gia tại Thành phố Hồ Chí Minh</v>
      </c>
      <c r="CB112" s="661" t="str">
        <f t="shared" si="254"/>
        <v>A</v>
      </c>
      <c r="CC112" s="662" t="str">
        <f t="shared" si="255"/>
        <v>=&gt; s</v>
      </c>
      <c r="CD112" s="652">
        <f t="shared" si="256"/>
        <v>24244</v>
      </c>
      <c r="CE112" s="649" t="str">
        <f t="shared" si="257"/>
        <v>S</v>
      </c>
      <c r="CF112" s="649">
        <v>2014</v>
      </c>
      <c r="CG112" s="381"/>
      <c r="CH112" s="649"/>
      <c r="CI112" s="649"/>
      <c r="CJ112" s="649" t="str">
        <f t="shared" si="258"/>
        <v>- - -</v>
      </c>
      <c r="CK112" s="664" t="str">
        <f t="shared" si="259"/>
        <v>- - -</v>
      </c>
      <c r="CL112" s="665"/>
      <c r="CM112" s="666"/>
      <c r="CN112" s="665"/>
      <c r="CO112" s="667"/>
      <c r="CP112" s="664" t="str">
        <f t="shared" si="260"/>
        <v>- - -</v>
      </c>
      <c r="CQ112" s="665"/>
      <c r="CR112" s="666"/>
      <c r="CS112" s="665"/>
      <c r="CT112" s="667"/>
      <c r="CU112" s="668" t="str">
        <f t="shared" si="261"/>
        <v>---</v>
      </c>
      <c r="CV112" s="200" t="str">
        <f t="shared" si="262"/>
        <v>/-/ /-/</v>
      </c>
      <c r="CW112" s="669">
        <f t="shared" si="263"/>
        <v>9</v>
      </c>
      <c r="CX112" s="670">
        <f t="shared" si="264"/>
        <v>2038</v>
      </c>
      <c r="CY112" s="669">
        <f t="shared" si="265"/>
        <v>6</v>
      </c>
      <c r="CZ112" s="670">
        <f t="shared" si="266"/>
        <v>2038</v>
      </c>
      <c r="DA112" s="669">
        <f t="shared" si="267"/>
        <v>3</v>
      </c>
      <c r="DB112" s="670">
        <f t="shared" si="268"/>
        <v>2038</v>
      </c>
      <c r="DC112" s="671" t="str">
        <f t="shared" si="269"/>
        <v>- - -</v>
      </c>
      <c r="DD112" s="672" t="str">
        <f t="shared" si="270"/>
        <v>. .</v>
      </c>
      <c r="DE112" s="386"/>
      <c r="DF112" s="652">
        <f t="shared" si="271"/>
        <v>720</v>
      </c>
      <c r="DG112" s="652">
        <f t="shared" si="272"/>
        <v>-23732</v>
      </c>
      <c r="DH112" s="652">
        <f t="shared" si="273"/>
        <v>-1978</v>
      </c>
      <c r="DI112" s="652" t="str">
        <f t="shared" si="274"/>
        <v>Nam dưới 35</v>
      </c>
      <c r="DJ112" s="652"/>
      <c r="DK112" s="652"/>
      <c r="DL112" s="658" t="str">
        <f t="shared" si="275"/>
        <v>Đến 30</v>
      </c>
      <c r="DM112" s="665" t="str">
        <f t="shared" si="276"/>
        <v>TD</v>
      </c>
      <c r="DN112" s="651">
        <v>2008</v>
      </c>
      <c r="DO112" s="649"/>
      <c r="DP112" s="384"/>
      <c r="DQ112" s="651"/>
      <c r="DR112" s="651"/>
      <c r="DS112" s="202"/>
      <c r="DT112" s="650"/>
      <c r="DU112" s="675"/>
      <c r="DV112" s="676"/>
      <c r="DW112" s="201" t="s">
        <v>88</v>
      </c>
      <c r="DX112" s="391" t="s">
        <v>416</v>
      </c>
      <c r="DY112" s="201" t="s">
        <v>88</v>
      </c>
      <c r="DZ112" s="387" t="s">
        <v>342</v>
      </c>
      <c r="EA112" s="655" t="s">
        <v>360</v>
      </c>
      <c r="EB112" s="655" t="s">
        <v>342</v>
      </c>
      <c r="EC112" s="655" t="s">
        <v>360</v>
      </c>
      <c r="ED112" s="677" t="s">
        <v>378</v>
      </c>
      <c r="EE112" s="655">
        <f t="shared" si="277"/>
        <v>0</v>
      </c>
      <c r="EF112" s="678" t="str">
        <f t="shared" si="278"/>
        <v>- - -</v>
      </c>
      <c r="EG112" s="387" t="s">
        <v>342</v>
      </c>
      <c r="EH112" s="655" t="s">
        <v>360</v>
      </c>
      <c r="EI112" s="655" t="s">
        <v>342</v>
      </c>
      <c r="EJ112" s="655" t="s">
        <v>360</v>
      </c>
      <c r="EK112" s="677" t="s">
        <v>378</v>
      </c>
      <c r="EL112" s="649"/>
      <c r="EM112" s="664">
        <f t="shared" si="279"/>
        <v>3.74</v>
      </c>
      <c r="EN112" s="679" t="str">
        <f t="shared" si="280"/>
        <v>---</v>
      </c>
      <c r="EO112" s="676"/>
      <c r="EP112" s="680"/>
      <c r="EQ112" s="680"/>
      <c r="ER112" s="680"/>
      <c r="ES112" s="680"/>
      <c r="ET112" s="680"/>
      <c r="EU112" s="680"/>
      <c r="EV112" s="680"/>
      <c r="EW112" s="680"/>
      <c r="EX112" s="680"/>
      <c r="EY112" s="680"/>
      <c r="EZ112" s="680"/>
      <c r="FA112" s="680"/>
      <c r="FB112" s="680"/>
      <c r="FC112" s="680"/>
      <c r="FD112" s="680"/>
      <c r="FE112" s="680"/>
      <c r="FF112" s="680"/>
      <c r="FG112" s="680"/>
      <c r="FH112" s="680"/>
      <c r="FI112" s="680"/>
      <c r="FJ112" s="680"/>
      <c r="FK112" s="680"/>
      <c r="FL112" s="680"/>
      <c r="FM112" s="680"/>
    </row>
  </sheetData>
  <mergeCells count="30">
    <mergeCell ref="R11:S13"/>
    <mergeCell ref="B7:BV7"/>
    <mergeCell ref="B8:BV8"/>
    <mergeCell ref="E11:E13"/>
    <mergeCell ref="F11:F13"/>
    <mergeCell ref="BM11:BN12"/>
    <mergeCell ref="B9:E9"/>
    <mergeCell ref="B11:B13"/>
    <mergeCell ref="D11:D13"/>
    <mergeCell ref="BJ12:BL13"/>
    <mergeCell ref="R9:S9"/>
    <mergeCell ref="BF12:BG13"/>
    <mergeCell ref="BF11:BL11"/>
    <mergeCell ref="BG1:BV1"/>
    <mergeCell ref="BG2:BV2"/>
    <mergeCell ref="B1:S1"/>
    <mergeCell ref="B2:S2"/>
    <mergeCell ref="B5:BV5"/>
    <mergeCell ref="X38:BU38"/>
    <mergeCell ref="CB11:CB13"/>
    <mergeCell ref="BW11:BW13"/>
    <mergeCell ref="BV11:BV13"/>
    <mergeCell ref="BO11:BU11"/>
    <mergeCell ref="BS12:BU13"/>
    <mergeCell ref="BX11:BX13"/>
    <mergeCell ref="CA11:CA13"/>
    <mergeCell ref="BO12:BQ13"/>
    <mergeCell ref="X36:BU36"/>
    <mergeCell ref="W11:Y13"/>
    <mergeCell ref="X37:BU37"/>
  </mergeCells>
  <conditionalFormatting sqref="BX10">
    <cfRule type="cellIs" dxfId="552" priority="5662" stopIfTrue="1" operator="between">
      <formula>"720"</formula>
      <formula>"720"</formula>
    </cfRule>
    <cfRule type="cellIs" dxfId="551" priority="5663" stopIfTrue="1" operator="between">
      <formula>"660"</formula>
      <formula>"660"</formula>
    </cfRule>
  </conditionalFormatting>
  <conditionalFormatting sqref="DQ46:DQ47 DQ36:DQ42">
    <cfRule type="expression" dxfId="550" priority="5660" stopIfTrue="1">
      <formula>IF(DR36&gt;0,1,0)</formula>
    </cfRule>
    <cfRule type="expression" dxfId="549" priority="5661" stopIfTrue="1">
      <formula>IF(DR36=0,1,0)</formula>
    </cfRule>
  </conditionalFormatting>
  <conditionalFormatting sqref="DW46:DW47 DW36:DW42">
    <cfRule type="cellIs" dxfId="548" priority="5657" stopIfTrue="1" operator="between">
      <formula>"Hưu"</formula>
      <formula>"Hưu"</formula>
    </cfRule>
    <cfRule type="cellIs" dxfId="547" priority="5658" stopIfTrue="1" operator="between">
      <formula>"---"</formula>
      <formula>"---"</formula>
    </cfRule>
    <cfRule type="cellIs" dxfId="546" priority="5659" stopIfTrue="1" operator="between">
      <formula>"Quá"</formula>
      <formula>"Quá"</formula>
    </cfRule>
  </conditionalFormatting>
  <conditionalFormatting sqref="DN46:DN47 DN36:DN42">
    <cfRule type="cellIs" dxfId="545" priority="5654" stopIfTrue="1" operator="between">
      <formula>"Đến"</formula>
      <formula>"Đến"</formula>
    </cfRule>
    <cfRule type="cellIs" dxfId="544" priority="5655" stopIfTrue="1" operator="between">
      <formula>"Quá"</formula>
      <formula>"Quá"</formula>
    </cfRule>
    <cfRule type="expression" dxfId="543" priority="5656" stopIfTrue="1">
      <formula>IF(OR(DN36="Lương Sớm Hưu",DN36="Nâng Ngạch Hưu"),1,0)</formula>
    </cfRule>
  </conditionalFormatting>
  <conditionalFormatting sqref="DV46:DV47 DV36:DV42">
    <cfRule type="expression" dxfId="542" priority="5651" stopIfTrue="1">
      <formula>IF(DV36="Nâg Ngạch sau TB",1,0)</formula>
    </cfRule>
    <cfRule type="expression" dxfId="541" priority="5652" stopIfTrue="1">
      <formula>IF(DV36="Nâg Lươg Sớm sau TB",1,0)</formula>
    </cfRule>
    <cfRule type="expression" dxfId="540" priority="5653" stopIfTrue="1">
      <formula>IF(DV36="Nâg PC TNVK cùng QĐ",1,0)</formula>
    </cfRule>
  </conditionalFormatting>
  <conditionalFormatting sqref="A46:A47 A36:A42">
    <cfRule type="expression" dxfId="539" priority="5649" stopIfTrue="1">
      <formula>IF(#REF!="Hưu",1,0)</formula>
    </cfRule>
    <cfRule type="expression" dxfId="538" priority="5650" stopIfTrue="1">
      <formula>IF(#REF!="Quá",1,0)</formula>
    </cfRule>
  </conditionalFormatting>
  <conditionalFormatting sqref="AV16:AV25 AJ16:AJ25 AV43:AV45 AJ43:AJ45 AJ101:AJ102 AJ104 AJ106:AJ112 AJ27:AJ35 AV27:AV35">
    <cfRule type="expression" dxfId="537" priority="5648" stopIfTrue="1">
      <formula>IF(AND(AP16=0,OR($AA$4-AJ16&gt;0,O$4-AJ16&lt;0)),1,0)</formula>
    </cfRule>
  </conditionalFormatting>
  <conditionalFormatting sqref="AA43:AA45 AA33:AA35 AA16:AA25 AA27:AA30">
    <cfRule type="cellIs" dxfId="536" priority="5646" stopIfTrue="1" operator="between">
      <formula>"Đến $"</formula>
      <formula>"Đến $"</formula>
    </cfRule>
    <cfRule type="cellIs" dxfId="535" priority="5647" stopIfTrue="1" operator="between">
      <formula>"Dừng $"</formula>
      <formula>"Dừng $"</formula>
    </cfRule>
  </conditionalFormatting>
  <conditionalFormatting sqref="AP43:AP45 AP16:AP25 AP27:AP30 AP33:AP35">
    <cfRule type="cellIs" dxfId="534" priority="5644" stopIfTrue="1" operator="between">
      <formula>"%"</formula>
      <formula>"%"</formula>
    </cfRule>
    <cfRule type="expression" dxfId="533" priority="5645" stopIfTrue="1">
      <formula>IF(AO16=AQ16,1,0)</formula>
    </cfRule>
  </conditionalFormatting>
  <conditionalFormatting sqref="O43:O45 O16:O25 O27:O30 O33:O35">
    <cfRule type="expression" dxfId="532" priority="5643" stopIfTrue="1">
      <formula>IF(P16=0,1,0)</formula>
    </cfRule>
  </conditionalFormatting>
  <conditionalFormatting sqref="DN43:DN45 DN16:DN25 DN27:DN30 DN33:DN35">
    <cfRule type="expression" dxfId="531" priority="5640" stopIfTrue="1">
      <formula>IF(FF16="Hưu",1,0)</formula>
    </cfRule>
    <cfRule type="expression" dxfId="530" priority="5641" stopIfTrue="1">
      <formula>IF(FF16="Quá",1,0)</formula>
    </cfRule>
    <cfRule type="expression" dxfId="529" priority="5642" stopIfTrue="1">
      <formula>IF(EN16="Lùi",1,0)</formula>
    </cfRule>
  </conditionalFormatting>
  <conditionalFormatting sqref="DU43:DU45 DU16:DU25 DU27:DU30 DU33:DU35">
    <cfRule type="expression" dxfId="528" priority="5638" stopIfTrue="1">
      <formula>IF(FK16="Hưu",1,0)</formula>
    </cfRule>
    <cfRule type="expression" dxfId="527" priority="5639" stopIfTrue="1">
      <formula>IF(FK16="Quá",1,0)</formula>
    </cfRule>
  </conditionalFormatting>
  <conditionalFormatting sqref="CU43:CU45 CU33:CU35 CU16:CU25 CU27:CU30">
    <cfRule type="cellIs" dxfId="526" priority="5635" stopIfTrue="1" operator="between">
      <formula>"Hưu"</formula>
      <formula>"Hưu"</formula>
    </cfRule>
    <cfRule type="cellIs" dxfId="525" priority="5636" stopIfTrue="1" operator="between">
      <formula>"---"</formula>
      <formula>"---"</formula>
    </cfRule>
    <cfRule type="cellIs" dxfId="524" priority="5637" stopIfTrue="1" operator="between">
      <formula>"Quá"</formula>
      <formula>"Quá"</formula>
    </cfRule>
  </conditionalFormatting>
  <conditionalFormatting sqref="BE43:BE45 BE33:BE35 BE16:BE25 BE27:BE30">
    <cfRule type="expression" dxfId="523" priority="5633" stopIfTrue="1">
      <formula>IF(BE16="Đến %",1,0)</formula>
    </cfRule>
    <cfRule type="expression" dxfId="522" priority="5634" stopIfTrue="1">
      <formula>IF(BE16="Dừng %",1,0)</formula>
    </cfRule>
  </conditionalFormatting>
  <conditionalFormatting sqref="BW43:BW45 BW33:BW35 BW16:BW25 BW27:BW30">
    <cfRule type="cellIs" dxfId="521" priority="5632" stopIfTrue="1" operator="between">
      <formula>0</formula>
      <formula>13</formula>
    </cfRule>
  </conditionalFormatting>
  <conditionalFormatting sqref="EC43:EC45 EC33:EC35 EC16:EC25 EC27:EC30">
    <cfRule type="expression" dxfId="520" priority="5631" stopIfTrue="1">
      <formula>IF(EC16="Sửa",1,0)</formula>
    </cfRule>
  </conditionalFormatting>
  <conditionalFormatting sqref="N43:N45 N33:N35 N16:N25 N27:N30">
    <cfRule type="cellIs" dxfId="519" priority="5630" stopIfTrue="1" operator="between">
      <formula>"Ko hạn"</formula>
      <formula>"Ko hạn"</formula>
    </cfRule>
  </conditionalFormatting>
  <conditionalFormatting sqref="Q43:Q45 Q16:Q25 Q27:Q30 Q33:Q35">
    <cfRule type="expression" dxfId="518" priority="5629">
      <formula>IF(P16=0,1,0)</formula>
    </cfRule>
  </conditionalFormatting>
  <conditionalFormatting sqref="BJ43:BJ45">
    <cfRule type="expression" dxfId="517" priority="5628" stopIfTrue="1">
      <formula>IF(AND(BS43=0,OR($AA$4-BJ43&gt;BS43,$AA$4-BJ43&lt;BS43)),1,0)</formula>
    </cfRule>
  </conditionalFormatting>
  <conditionalFormatting sqref="E43:E45 E16:E25 E27:E30 E33:E35">
    <cfRule type="expression" dxfId="516" priority="5626" stopIfTrue="1">
      <formula>IF(CV16="Hưu",1,0)</formula>
    </cfRule>
    <cfRule type="expression" dxfId="515" priority="5627" stopIfTrue="1">
      <formula>IF(CV16="Quá",1,0)</formula>
    </cfRule>
  </conditionalFormatting>
  <conditionalFormatting sqref="AM43:AM45 AM16:AM25 AM27:AM30 AM33:AM35">
    <cfRule type="expression" dxfId="514" priority="5625" stopIfTrue="1">
      <formula>IF(AND(BB16=0,AM16&gt;0),1,0)</formula>
    </cfRule>
  </conditionalFormatting>
  <conditionalFormatting sqref="BS43:BS45">
    <cfRule type="expression" dxfId="513" priority="5624" stopIfTrue="1">
      <formula>IF(AND(BX43=0,OR($AA$4-BS43&gt;BX43,$AA$4-BS43&lt;BX43)),1,0)</formula>
    </cfRule>
  </conditionalFormatting>
  <conditionalFormatting sqref="C43:C45 C16:C25 C27:C30 C33:C35">
    <cfRule type="expression" dxfId="512" priority="5621" stopIfTrue="1">
      <formula>IF(CX16="Hưu",1,0)</formula>
    </cfRule>
    <cfRule type="expression" dxfId="511" priority="5622" stopIfTrue="1">
      <formula>IF(CX16="Quá",1,0)</formula>
    </cfRule>
    <cfRule type="expression" dxfId="510" priority="5623" stopIfTrue="1">
      <formula>IF(BC16="Lùi",1,0)</formula>
    </cfRule>
  </conditionalFormatting>
  <conditionalFormatting sqref="A43:A45 A16:A25 A27:A30 A33:A35">
    <cfRule type="expression" dxfId="509" priority="5618" stopIfTrue="1">
      <formula>IF(CV16="Hưu",1,0)</formula>
    </cfRule>
    <cfRule type="expression" dxfId="508" priority="5619" stopIfTrue="1">
      <formula>IF(CV16="Quá",1,0)</formula>
    </cfRule>
    <cfRule type="expression" dxfId="507" priority="5620" stopIfTrue="1">
      <formula>IF(AM16="Lùi",1,0)</formula>
    </cfRule>
  </conditionalFormatting>
  <conditionalFormatting sqref="AB50">
    <cfRule type="cellIs" dxfId="506" priority="5324" stopIfTrue="1" operator="between">
      <formula>0</formula>
      <formula>0</formula>
    </cfRule>
  </conditionalFormatting>
  <conditionalFormatting sqref="CV50">
    <cfRule type="cellIs" dxfId="505" priority="5321" stopIfTrue="1" operator="between">
      <formula>"Hưu"</formula>
      <formula>"Hưu"</formula>
    </cfRule>
    <cfRule type="cellIs" dxfId="504" priority="5322" stopIfTrue="1" operator="between">
      <formula>"---"</formula>
      <formula>"---"</formula>
    </cfRule>
    <cfRule type="cellIs" dxfId="503" priority="5323" stopIfTrue="1" operator="between">
      <formula>"Quá"</formula>
      <formula>"Quá"</formula>
    </cfRule>
  </conditionalFormatting>
  <conditionalFormatting sqref="BG50">
    <cfRule type="cellIs" dxfId="502" priority="5320" stopIfTrue="1" operator="between">
      <formula>4</formula>
      <formula>4</formula>
    </cfRule>
  </conditionalFormatting>
  <conditionalFormatting sqref="AA50">
    <cfRule type="cellIs" dxfId="501" priority="5316" stopIfTrue="1" operator="between">
      <formula>"Đến $"</formula>
      <formula>"Đến $"</formula>
    </cfRule>
    <cfRule type="cellIs" dxfId="500" priority="5317" stopIfTrue="1" operator="between">
      <formula>"Dừng $"</formula>
      <formula>"Dừng $"</formula>
    </cfRule>
  </conditionalFormatting>
  <conditionalFormatting sqref="BX50">
    <cfRule type="cellIs" dxfId="499" priority="5315" stopIfTrue="1" operator="between">
      <formula>0</formula>
      <formula>13</formula>
    </cfRule>
  </conditionalFormatting>
  <conditionalFormatting sqref="AG50">
    <cfRule type="cellIs" dxfId="498" priority="5271" stopIfTrue="1" operator="between">
      <formula>"%"</formula>
      <formula>"%"</formula>
    </cfRule>
  </conditionalFormatting>
  <conditionalFormatting sqref="DW51:DW52">
    <cfRule type="expression" dxfId="497" priority="5136" stopIfTrue="1">
      <formula>IF(DV51=0,1,0)</formula>
    </cfRule>
  </conditionalFormatting>
  <conditionalFormatting sqref="E51:E52 L51:S52">
    <cfRule type="expression" dxfId="496" priority="5134" stopIfTrue="1">
      <formula>IF(CW51="Hưu",1,0)</formula>
    </cfRule>
    <cfRule type="expression" dxfId="495" priority="5135" stopIfTrue="1">
      <formula>IF(CW51="Quá",1,0)</formula>
    </cfRule>
  </conditionalFormatting>
  <conditionalFormatting sqref="DO51:DO52">
    <cfRule type="expression" dxfId="494" priority="5131" stopIfTrue="1">
      <formula>IF(FI51="Hưu",1,0)</formula>
    </cfRule>
    <cfRule type="expression" dxfId="493" priority="5132" stopIfTrue="1">
      <formula>IF(FI51="Quá",1,0)</formula>
    </cfRule>
    <cfRule type="expression" dxfId="492" priority="5133" stopIfTrue="1">
      <formula>IF(EQ51="Lùi",1,0)</formula>
    </cfRule>
  </conditionalFormatting>
  <conditionalFormatting sqref="AB51:AB52">
    <cfRule type="cellIs" dxfId="491" priority="5126" stopIfTrue="1" operator="between">
      <formula>0</formula>
      <formula>0</formula>
    </cfRule>
    <cfRule type="expression" dxfId="490" priority="5127" stopIfTrue="1">
      <formula>IF(AND(AD51&gt;AB51,AB51&gt;0),1,0)</formula>
    </cfRule>
    <cfRule type="expression" dxfId="489" priority="5128" stopIfTrue="1">
      <formula>IF(AD51&lt;AB51,1,0)</formula>
    </cfRule>
  </conditionalFormatting>
  <conditionalFormatting sqref="CV51:CV52">
    <cfRule type="cellIs" dxfId="488" priority="5123" stopIfTrue="1" operator="between">
      <formula>"Hưu"</formula>
      <formula>"Hưu"</formula>
    </cfRule>
    <cfRule type="cellIs" dxfId="487" priority="5124" stopIfTrue="1" operator="between">
      <formula>"---"</formula>
      <formula>"---"</formula>
    </cfRule>
    <cfRule type="cellIs" dxfId="486" priority="5125" stopIfTrue="1" operator="between">
      <formula>"Quá"</formula>
      <formula>"Quá"</formula>
    </cfRule>
  </conditionalFormatting>
  <conditionalFormatting sqref="BG51:BG52">
    <cfRule type="cellIs" dxfId="485" priority="5122" stopIfTrue="1" operator="between">
      <formula>4</formula>
      <formula>4</formula>
    </cfRule>
  </conditionalFormatting>
  <conditionalFormatting sqref="BF51:BF52">
    <cfRule type="expression" dxfId="484" priority="5120" stopIfTrue="1">
      <formula>IF(BF51="Đến %",1,0)</formula>
    </cfRule>
    <cfRule type="expression" dxfId="483" priority="5121" stopIfTrue="1">
      <formula>IF(BF51="Dừng %",1,0)</formula>
    </cfRule>
  </conditionalFormatting>
  <conditionalFormatting sqref="AA51:AA52">
    <cfRule type="cellIs" dxfId="482" priority="5118" stopIfTrue="1" operator="between">
      <formula>"Đến $"</formula>
      <formula>"Đến $"</formula>
    </cfRule>
    <cfRule type="cellIs" dxfId="481" priority="5119" stopIfTrue="1" operator="between">
      <formula>"Dừng $"</formula>
      <formula>"Dừng $"</formula>
    </cfRule>
  </conditionalFormatting>
  <conditionalFormatting sqref="BX51:BX52">
    <cfRule type="cellIs" dxfId="480" priority="5117" stopIfTrue="1" operator="between">
      <formula>0</formula>
      <formula>13</formula>
    </cfRule>
  </conditionalFormatting>
  <conditionalFormatting sqref="AM51:AM52">
    <cfRule type="expression" dxfId="479" priority="5116" stopIfTrue="1">
      <formula>IF(AND(BC51=0,AM51&gt;0),1,0)</formula>
    </cfRule>
  </conditionalFormatting>
  <conditionalFormatting sqref="EF51:EF52">
    <cfRule type="expression" dxfId="478" priority="5115" stopIfTrue="1">
      <formula>IF(EF51="Sửa",1,0)</formula>
    </cfRule>
  </conditionalFormatting>
  <conditionalFormatting sqref="BT51:BT52">
    <cfRule type="expression" dxfId="477" priority="5114" stopIfTrue="1">
      <formula>IF(AND(BY51=0,OR($AA$4-BT51&gt;BY51,$AA$4-BT51&lt;BY51)),1,0)</formula>
    </cfRule>
  </conditionalFormatting>
  <conditionalFormatting sqref="BN51:BN52">
    <cfRule type="expression" dxfId="476" priority="5113" stopIfTrue="1">
      <formula>IF(AND(BY51=0,BN51&gt;0),1,0)</formula>
    </cfRule>
  </conditionalFormatting>
  <conditionalFormatting sqref="BJ51:BK52">
    <cfRule type="expression" dxfId="475" priority="5112" stopIfTrue="1">
      <formula>IF(AND(BS51=0,OR($AA$4-BJ51&gt;BS51,$AA$4-BJ51&lt;BS51)),1,0)</formula>
    </cfRule>
  </conditionalFormatting>
  <conditionalFormatting sqref="AJ88:AJ96 AJ98:AJ100 AJ103 AJ105 AV88:AV112 AJ51:AJ52 AV51:AV52 AV65 AJ65 AJ71:AJ86 AV71:AV86">
    <cfRule type="expression" dxfId="474" priority="5111" stopIfTrue="1">
      <formula>IF(AND(AQ51=0,OR($AA$4-AJ51&gt;0,O$4-AJ51&lt;0)),1,0)</formula>
    </cfRule>
  </conditionalFormatting>
  <conditionalFormatting sqref="BR51:BR52">
    <cfRule type="expression" dxfId="473" priority="5110" stopIfTrue="1">
      <formula>IF(AND(BO51=0,OR($AA$4-BR51&gt;BO51,$AA$4-BR51&lt;BO51)),1,0)</formula>
    </cfRule>
  </conditionalFormatting>
  <conditionalFormatting sqref="C51:C52">
    <cfRule type="expression" dxfId="472" priority="5107" stopIfTrue="1">
      <formula>IF(CY51="Hưu",1,0)</formula>
    </cfRule>
    <cfRule type="expression" dxfId="471" priority="5108" stopIfTrue="1">
      <formula>IF(CY51="Quá",1,0)</formula>
    </cfRule>
    <cfRule type="expression" dxfId="470" priority="5109" stopIfTrue="1">
      <formula>IF(BD51="Lùi",1,0)</formula>
    </cfRule>
  </conditionalFormatting>
  <conditionalFormatting sqref="A51:A52">
    <cfRule type="expression" dxfId="469" priority="5104" stopIfTrue="1">
      <formula>IF(CW51="Hưu",1,0)</formula>
    </cfRule>
    <cfRule type="expression" dxfId="468" priority="5105" stopIfTrue="1">
      <formula>IF(CW51="Quá",1,0)</formula>
    </cfRule>
    <cfRule type="expression" dxfId="467" priority="5106" stopIfTrue="1">
      <formula>IF(AM51="Lùi",1,0)</formula>
    </cfRule>
  </conditionalFormatting>
  <conditionalFormatting sqref="AG51:AG52">
    <cfRule type="cellIs" dxfId="466" priority="5100" stopIfTrue="1" operator="between">
      <formula>"%"</formula>
      <formula>"%"</formula>
    </cfRule>
    <cfRule type="expression" dxfId="465" priority="5101" stopIfTrue="1">
      <formula>IF(AF51=AR51,1,0)</formula>
    </cfRule>
  </conditionalFormatting>
  <conditionalFormatting sqref="AP97:AP112">
    <cfRule type="cellIs" dxfId="464" priority="5095" stopIfTrue="1" operator="between">
      <formula>"%"</formula>
      <formula>"%"</formula>
    </cfRule>
    <cfRule type="expression" dxfId="463" priority="5096" stopIfTrue="1">
      <formula>IF(AO97=AQ97,1,0)</formula>
    </cfRule>
  </conditionalFormatting>
  <conditionalFormatting sqref="E88:E89 V88 E107:E110 V97:W97 Y97:Z97 E93:E96 E91 L88:S97 E99:E105 E112 L102:S112 L85:S86">
    <cfRule type="expression" dxfId="462" priority="5093" stopIfTrue="1">
      <formula>IF(CW85="Hưu",1,0)</formula>
    </cfRule>
    <cfRule type="expression" dxfId="461" priority="5094" stopIfTrue="1">
      <formula>IF(CW85="Quá",1,0)</formula>
    </cfRule>
  </conditionalFormatting>
  <conditionalFormatting sqref="DO101:DO104 DO97:DO98 DO106 DO90:DO95 DO111:DO112 DO85:DO86">
    <cfRule type="expression" dxfId="460" priority="5090" stopIfTrue="1">
      <formula>IF(FI85="Hưu",1,0)</formula>
    </cfRule>
    <cfRule type="expression" dxfId="459" priority="5091" stopIfTrue="1">
      <formula>IF(FI85="Quá",1,0)</formula>
    </cfRule>
    <cfRule type="expression" dxfId="458" priority="5092" stopIfTrue="1">
      <formula>IF(EQ85="Lùi",1,0)</formula>
    </cfRule>
  </conditionalFormatting>
  <conditionalFormatting sqref="DV85 DV88:DV89 DV107:DV110 DV93:DV96 DV91 DV99:DV105 DV112">
    <cfRule type="expression" dxfId="457" priority="5088" stopIfTrue="1">
      <formula>IF(FN85="Hưu",1,0)</formula>
    </cfRule>
    <cfRule type="expression" dxfId="456" priority="5089" stopIfTrue="1">
      <formula>IF(FN85="Quá",1,0)</formula>
    </cfRule>
  </conditionalFormatting>
  <conditionalFormatting sqref="AB88:AB90 AB86 AB93:AB96 AB98:AB112">
    <cfRule type="cellIs" dxfId="455" priority="5085" stopIfTrue="1" operator="between">
      <formula>0</formula>
      <formula>0</formula>
    </cfRule>
    <cfRule type="expression" dxfId="454" priority="5086" stopIfTrue="1">
      <formula>IF(AND(AD86&gt;AB86,AB86&gt;0),1,0)</formula>
    </cfRule>
    <cfRule type="expression" dxfId="453" priority="5087" stopIfTrue="1">
      <formula>IF(AD86&lt;AB86,1,0)</formula>
    </cfRule>
  </conditionalFormatting>
  <conditionalFormatting sqref="CV112 CV105:CV108 CV88:CV95 CV98:CV101 CV85:CV86">
    <cfRule type="cellIs" dxfId="452" priority="5082" stopIfTrue="1" operator="between">
      <formula>"Hưu"</formula>
      <formula>"Hưu"</formula>
    </cfRule>
    <cfRule type="cellIs" dxfId="451" priority="5083" stopIfTrue="1" operator="between">
      <formula>"---"</formula>
      <formula>"---"</formula>
    </cfRule>
    <cfRule type="cellIs" dxfId="450" priority="5084" stopIfTrue="1" operator="between">
      <formula>"Quá"</formula>
      <formula>"Quá"</formula>
    </cfRule>
  </conditionalFormatting>
  <conditionalFormatting sqref="BG86 BG88:BG90 BG105:BG108 BG92:BG95 BG98:BG101">
    <cfRule type="cellIs" dxfId="449" priority="5081" stopIfTrue="1" operator="between">
      <formula>4</formula>
      <formula>4</formula>
    </cfRule>
  </conditionalFormatting>
  <conditionalFormatting sqref="BF112 BF105:BF108 BF88:BF95 BF98:BF101 BF85:BF86">
    <cfRule type="expression" dxfId="448" priority="5079" stopIfTrue="1">
      <formula>IF(BF85="Đến %",1,0)</formula>
    </cfRule>
    <cfRule type="expression" dxfId="447" priority="5080" stopIfTrue="1">
      <formula>IF(BF85="Dừng %",1,0)</formula>
    </cfRule>
  </conditionalFormatting>
  <conditionalFormatting sqref="AA111:AA112 AA105:AA108 AA88:AA95 AA98:AA101 AA85:AA86">
    <cfRule type="cellIs" dxfId="446" priority="5077" stopIfTrue="1" operator="between">
      <formula>"Đến $"</formula>
      <formula>"Đến $"</formula>
    </cfRule>
    <cfRule type="cellIs" dxfId="445" priority="5078" stopIfTrue="1" operator="between">
      <formula>"Dừng $"</formula>
      <formula>"Dừng $"</formula>
    </cfRule>
  </conditionalFormatting>
  <conditionalFormatting sqref="BX111:BX112 BX105:BX108 BX88:BX103 BX85:BX86">
    <cfRule type="cellIs" dxfId="444" priority="5076" stopIfTrue="1" operator="between">
      <formula>0</formula>
      <formula>13</formula>
    </cfRule>
  </conditionalFormatting>
  <conditionalFormatting sqref="AM88:AM112 AM85:AM86">
    <cfRule type="expression" dxfId="443" priority="5075" stopIfTrue="1">
      <formula>IF(AND(BC85=0,AM85&gt;0),1,0)</formula>
    </cfRule>
  </conditionalFormatting>
  <conditionalFormatting sqref="EF112 EF105:EF108 EF88:EF95 EF98:EF101 EF85:EF86">
    <cfRule type="expression" dxfId="442" priority="5074" stopIfTrue="1">
      <formula>IF(EF85="Sửa",1,0)</formula>
    </cfRule>
  </conditionalFormatting>
  <conditionalFormatting sqref="BT88:BT112 BT85:BT86">
    <cfRule type="expression" dxfId="441" priority="5073" stopIfTrue="1">
      <formula>IF(AND(BY85=0,OR($AA$4-BT85&gt;BY85,$AA$4-BT85&lt;BY85)),1,0)</formula>
    </cfRule>
  </conditionalFormatting>
  <conditionalFormatting sqref="BN88:BN112 BN85:BN86">
    <cfRule type="expression" dxfId="440" priority="5072" stopIfTrue="1">
      <formula>IF(AND(BY85=0,BN85&gt;0),1,0)</formula>
    </cfRule>
  </conditionalFormatting>
  <conditionalFormatting sqref="CV111">
    <cfRule type="cellIs" dxfId="439" priority="5069" stopIfTrue="1" operator="between">
      <formula>"Hưu"</formula>
      <formula>"Hưu"</formula>
    </cfRule>
    <cfRule type="cellIs" dxfId="438" priority="5070" stopIfTrue="1" operator="between">
      <formula>"---"</formula>
      <formula>"---"</formula>
    </cfRule>
    <cfRule type="cellIs" dxfId="437" priority="5071" stopIfTrue="1" operator="between">
      <formula>"Quá"</formula>
      <formula>"Quá"</formula>
    </cfRule>
  </conditionalFormatting>
  <conditionalFormatting sqref="BG111">
    <cfRule type="cellIs" dxfId="436" priority="5068" stopIfTrue="1" operator="between">
      <formula>4</formula>
      <formula>4</formula>
    </cfRule>
  </conditionalFormatting>
  <conditionalFormatting sqref="BF111">
    <cfRule type="expression" dxfId="435" priority="5066" stopIfTrue="1">
      <formula>IF(BF111="Đến %",1,0)</formula>
    </cfRule>
    <cfRule type="expression" dxfId="434" priority="5067" stopIfTrue="1">
      <formula>IF(BF111="Dừng %",1,0)</formula>
    </cfRule>
  </conditionalFormatting>
  <conditionalFormatting sqref="EF111">
    <cfRule type="expression" dxfId="433" priority="5065" stopIfTrue="1">
      <formula>IF(EF111="Sửa",1,0)</formula>
    </cfRule>
  </conditionalFormatting>
  <conditionalFormatting sqref="CV110">
    <cfRule type="cellIs" dxfId="432" priority="5062" stopIfTrue="1" operator="between">
      <formula>"Hưu"</formula>
      <formula>"Hưu"</formula>
    </cfRule>
    <cfRule type="cellIs" dxfId="431" priority="5063" stopIfTrue="1" operator="between">
      <formula>"---"</formula>
      <formula>"---"</formula>
    </cfRule>
    <cfRule type="cellIs" dxfId="430" priority="5064" stopIfTrue="1" operator="between">
      <formula>"Quá"</formula>
      <formula>"Quá"</formula>
    </cfRule>
  </conditionalFormatting>
  <conditionalFormatting sqref="BG110">
    <cfRule type="cellIs" dxfId="429" priority="5061" stopIfTrue="1" operator="between">
      <formula>4</formula>
      <formula>4</formula>
    </cfRule>
  </conditionalFormatting>
  <conditionalFormatting sqref="BF110">
    <cfRule type="expression" dxfId="428" priority="5059" stopIfTrue="1">
      <formula>IF(BF110="Đến %",1,0)</formula>
    </cfRule>
    <cfRule type="expression" dxfId="427" priority="5060" stopIfTrue="1">
      <formula>IF(BF110="Dừng %",1,0)</formula>
    </cfRule>
  </conditionalFormatting>
  <conditionalFormatting sqref="AA110">
    <cfRule type="cellIs" dxfId="426" priority="5057" stopIfTrue="1" operator="between">
      <formula>"Đến $"</formula>
      <formula>"Đến $"</formula>
    </cfRule>
    <cfRule type="cellIs" dxfId="425" priority="5058" stopIfTrue="1" operator="between">
      <formula>"Dừng $"</formula>
      <formula>"Dừng $"</formula>
    </cfRule>
  </conditionalFormatting>
  <conditionalFormatting sqref="BX110">
    <cfRule type="cellIs" dxfId="424" priority="5056" stopIfTrue="1" operator="between">
      <formula>0</formula>
      <formula>13</formula>
    </cfRule>
  </conditionalFormatting>
  <conditionalFormatting sqref="EF110">
    <cfRule type="expression" dxfId="423" priority="5055" stopIfTrue="1">
      <formula>IF(EF110="Sửa",1,0)</formula>
    </cfRule>
  </conditionalFormatting>
  <conditionalFormatting sqref="CV102">
    <cfRule type="cellIs" dxfId="422" priority="5052" stopIfTrue="1" operator="between">
      <formula>"Hưu"</formula>
      <formula>"Hưu"</formula>
    </cfRule>
    <cfRule type="cellIs" dxfId="421" priority="5053" stopIfTrue="1" operator="between">
      <formula>"---"</formula>
      <formula>"---"</formula>
    </cfRule>
    <cfRule type="cellIs" dxfId="420" priority="5054" stopIfTrue="1" operator="between">
      <formula>"Quá"</formula>
      <formula>"Quá"</formula>
    </cfRule>
  </conditionalFormatting>
  <conditionalFormatting sqref="BG102">
    <cfRule type="cellIs" dxfId="419" priority="5051" stopIfTrue="1" operator="between">
      <formula>4</formula>
      <formula>4</formula>
    </cfRule>
  </conditionalFormatting>
  <conditionalFormatting sqref="BF102">
    <cfRule type="expression" dxfId="418" priority="5049" stopIfTrue="1">
      <formula>IF(BF102="Đến %",1,0)</formula>
    </cfRule>
    <cfRule type="expression" dxfId="417" priority="5050" stopIfTrue="1">
      <formula>IF(BF102="Dừng %",1,0)</formula>
    </cfRule>
  </conditionalFormatting>
  <conditionalFormatting sqref="AA102">
    <cfRule type="cellIs" dxfId="416" priority="5047" stopIfTrue="1" operator="between">
      <formula>"Đến $"</formula>
      <formula>"Đến $"</formula>
    </cfRule>
    <cfRule type="cellIs" dxfId="415" priority="5048" stopIfTrue="1" operator="between">
      <formula>"Dừng $"</formula>
      <formula>"Dừng $"</formula>
    </cfRule>
  </conditionalFormatting>
  <conditionalFormatting sqref="EF102">
    <cfRule type="expression" dxfId="414" priority="5046" stopIfTrue="1">
      <formula>IF(EF102="Sửa",1,0)</formula>
    </cfRule>
  </conditionalFormatting>
  <conditionalFormatting sqref="CV103:CV104">
    <cfRule type="cellIs" dxfId="413" priority="5043" stopIfTrue="1" operator="between">
      <formula>"Hưu"</formula>
      <formula>"Hưu"</formula>
    </cfRule>
    <cfRule type="cellIs" dxfId="412" priority="5044" stopIfTrue="1" operator="between">
      <formula>"---"</formula>
      <formula>"---"</formula>
    </cfRule>
    <cfRule type="cellIs" dxfId="411" priority="5045" stopIfTrue="1" operator="between">
      <formula>"Quá"</formula>
      <formula>"Quá"</formula>
    </cfRule>
  </conditionalFormatting>
  <conditionalFormatting sqref="BG103:BG104">
    <cfRule type="cellIs" dxfId="410" priority="5042" stopIfTrue="1" operator="between">
      <formula>4</formula>
      <formula>4</formula>
    </cfRule>
  </conditionalFormatting>
  <conditionalFormatting sqref="BF103:BF104">
    <cfRule type="expression" dxfId="409" priority="5040" stopIfTrue="1">
      <formula>IF(BF103="Đến %",1,0)</formula>
    </cfRule>
    <cfRule type="expression" dxfId="408" priority="5041" stopIfTrue="1">
      <formula>IF(BF103="Dừng %",1,0)</formula>
    </cfRule>
  </conditionalFormatting>
  <conditionalFormatting sqref="AA103:AA104">
    <cfRule type="cellIs" dxfId="407" priority="5038" stopIfTrue="1" operator="between">
      <formula>"Đến $"</formula>
      <formula>"Đến $"</formula>
    </cfRule>
    <cfRule type="cellIs" dxfId="406" priority="5039" stopIfTrue="1" operator="between">
      <formula>"Dừng $"</formula>
      <formula>"Dừng $"</formula>
    </cfRule>
  </conditionalFormatting>
  <conditionalFormatting sqref="BX104">
    <cfRule type="cellIs" dxfId="405" priority="5037" stopIfTrue="1" operator="between">
      <formula>0</formula>
      <formula>13</formula>
    </cfRule>
  </conditionalFormatting>
  <conditionalFormatting sqref="EF103:EF104">
    <cfRule type="expression" dxfId="404" priority="5036" stopIfTrue="1">
      <formula>IF(EF103="Sửa",1,0)</formula>
    </cfRule>
  </conditionalFormatting>
  <conditionalFormatting sqref="BI88 BI109 BI105:BK105 BJ101:BK104 BJ97:BK98 BI96:BK96 BJ88:BK95 BI99:BK100 BI112 BJ106:BK112 BJ85:BK86">
    <cfRule type="expression" dxfId="403" priority="5035" stopIfTrue="1">
      <formula>IF(AND(BR85=0,OR($AA$4-BI85&gt;BR85,$AA$4-BI85&lt;BR85)),1,0)</formula>
    </cfRule>
  </conditionalFormatting>
  <conditionalFormatting sqref="CV109">
    <cfRule type="cellIs" dxfId="402" priority="5032" stopIfTrue="1" operator="between">
      <formula>"Hưu"</formula>
      <formula>"Hưu"</formula>
    </cfRule>
    <cfRule type="cellIs" dxfId="401" priority="5033" stopIfTrue="1" operator="between">
      <formula>"---"</formula>
      <formula>"---"</formula>
    </cfRule>
    <cfRule type="cellIs" dxfId="400" priority="5034" stopIfTrue="1" operator="between">
      <formula>"Quá"</formula>
      <formula>"Quá"</formula>
    </cfRule>
  </conditionalFormatting>
  <conditionalFormatting sqref="BG109">
    <cfRule type="cellIs" dxfId="399" priority="5031" stopIfTrue="1" operator="between">
      <formula>4</formula>
      <formula>4</formula>
    </cfRule>
  </conditionalFormatting>
  <conditionalFormatting sqref="BF109">
    <cfRule type="expression" dxfId="398" priority="5029" stopIfTrue="1">
      <formula>IF(BF109="Đến %",1,0)</formula>
    </cfRule>
    <cfRule type="expression" dxfId="397" priority="5030" stopIfTrue="1">
      <formula>IF(BF109="Dừng %",1,0)</formula>
    </cfRule>
  </conditionalFormatting>
  <conditionalFormatting sqref="AA109">
    <cfRule type="cellIs" dxfId="396" priority="5027" stopIfTrue="1" operator="between">
      <formula>"Đến $"</formula>
      <formula>"Đến $"</formula>
    </cfRule>
    <cfRule type="cellIs" dxfId="395" priority="5028" stopIfTrue="1" operator="between">
      <formula>"Dừng $"</formula>
      <formula>"Dừng $"</formula>
    </cfRule>
  </conditionalFormatting>
  <conditionalFormatting sqref="BX109">
    <cfRule type="cellIs" dxfId="394" priority="5026" stopIfTrue="1" operator="between">
      <formula>0</formula>
      <formula>13</formula>
    </cfRule>
  </conditionalFormatting>
  <conditionalFormatting sqref="EF109">
    <cfRule type="expression" dxfId="393" priority="5025" stopIfTrue="1">
      <formula>IF(EF109="Sửa",1,0)</formula>
    </cfRule>
  </conditionalFormatting>
  <conditionalFormatting sqref="CV96">
    <cfRule type="cellIs" dxfId="392" priority="5022" stopIfTrue="1" operator="between">
      <formula>"Hưu"</formula>
      <formula>"Hưu"</formula>
    </cfRule>
    <cfRule type="cellIs" dxfId="391" priority="5023" stopIfTrue="1" operator="between">
      <formula>"---"</formula>
      <formula>"---"</formula>
    </cfRule>
    <cfRule type="cellIs" dxfId="390" priority="5024" stopIfTrue="1" operator="between">
      <formula>"Quá"</formula>
      <formula>"Quá"</formula>
    </cfRule>
  </conditionalFormatting>
  <conditionalFormatting sqref="BG96">
    <cfRule type="cellIs" dxfId="389" priority="5021" stopIfTrue="1" operator="between">
      <formula>4</formula>
      <formula>4</formula>
    </cfRule>
  </conditionalFormatting>
  <conditionalFormatting sqref="BF96">
    <cfRule type="expression" dxfId="388" priority="5019" stopIfTrue="1">
      <formula>IF(BF96="Đến %",1,0)</formula>
    </cfRule>
    <cfRule type="expression" dxfId="387" priority="5020" stopIfTrue="1">
      <formula>IF(BF96="Dừng %",1,0)</formula>
    </cfRule>
  </conditionalFormatting>
  <conditionalFormatting sqref="AA96">
    <cfRule type="cellIs" dxfId="386" priority="5017" stopIfTrue="1" operator="between">
      <formula>"Đến $"</formula>
      <formula>"Đến $"</formula>
    </cfRule>
    <cfRule type="cellIs" dxfId="385" priority="5018" stopIfTrue="1" operator="between">
      <formula>"Dừng $"</formula>
      <formula>"Dừng $"</formula>
    </cfRule>
  </conditionalFormatting>
  <conditionalFormatting sqref="EF96">
    <cfRule type="expression" dxfId="384" priority="5016" stopIfTrue="1">
      <formula>IF(EF96="Sửa",1,0)</formula>
    </cfRule>
  </conditionalFormatting>
  <conditionalFormatting sqref="BR88:BR112 BR85:BR86">
    <cfRule type="expression" dxfId="383" priority="5014" stopIfTrue="1">
      <formula>IF(AND(BO85=0,OR($AA$4-BR85&gt;BO85,$AA$4-BR85&lt;BO85)),1,0)</formula>
    </cfRule>
  </conditionalFormatting>
  <conditionalFormatting sqref="C88:C112 C85:C86">
    <cfRule type="expression" dxfId="382" priority="5011" stopIfTrue="1">
      <formula>IF(CY85="Hưu",1,0)</formula>
    </cfRule>
    <cfRule type="expression" dxfId="381" priority="5012" stopIfTrue="1">
      <formula>IF(CY85="Quá",1,0)</formula>
    </cfRule>
    <cfRule type="expression" dxfId="380" priority="5013" stopIfTrue="1">
      <formula>IF(BD85="Lùi",1,0)</formula>
    </cfRule>
  </conditionalFormatting>
  <conditionalFormatting sqref="A88:A112 A85:A86">
    <cfRule type="expression" dxfId="379" priority="5008" stopIfTrue="1">
      <formula>IF(CW85="Hưu",1,0)</formula>
    </cfRule>
    <cfRule type="expression" dxfId="378" priority="5009" stopIfTrue="1">
      <formula>IF(CW85="Quá",1,0)</formula>
    </cfRule>
    <cfRule type="expression" dxfId="377" priority="5010" stopIfTrue="1">
      <formula>IF(AM85="Lùi",1,0)</formula>
    </cfRule>
  </conditionalFormatting>
  <conditionalFormatting sqref="CV97">
    <cfRule type="cellIs" dxfId="376" priority="5005" stopIfTrue="1" operator="between">
      <formula>"Hưu"</formula>
      <formula>"Hưu"</formula>
    </cfRule>
    <cfRule type="cellIs" dxfId="375" priority="5006" stopIfTrue="1" operator="between">
      <formula>"---"</formula>
      <formula>"---"</formula>
    </cfRule>
    <cfRule type="cellIs" dxfId="374" priority="5007" stopIfTrue="1" operator="between">
      <formula>"Quá"</formula>
      <formula>"Quá"</formula>
    </cfRule>
  </conditionalFormatting>
  <conditionalFormatting sqref="BG97">
    <cfRule type="cellIs" dxfId="373" priority="5004" stopIfTrue="1" operator="between">
      <formula>4</formula>
      <formula>4</formula>
    </cfRule>
  </conditionalFormatting>
  <conditionalFormatting sqref="BF97">
    <cfRule type="expression" dxfId="372" priority="5002" stopIfTrue="1">
      <formula>IF(BF97="Đến %",1,0)</formula>
    </cfRule>
    <cfRule type="expression" dxfId="371" priority="5003" stopIfTrue="1">
      <formula>IF(BF97="Dừng %",1,0)</formula>
    </cfRule>
  </conditionalFormatting>
  <conditionalFormatting sqref="AA97">
    <cfRule type="cellIs" dxfId="370" priority="5000" stopIfTrue="1" operator="between">
      <formula>"Đến $"</formula>
      <formula>"Đến $"</formula>
    </cfRule>
    <cfRule type="cellIs" dxfId="369" priority="5001" stopIfTrue="1" operator="between">
      <formula>"Dừng $"</formula>
      <formula>"Dừng $"</formula>
    </cfRule>
  </conditionalFormatting>
  <conditionalFormatting sqref="EF97">
    <cfRule type="expression" dxfId="368" priority="4999" stopIfTrue="1">
      <formula>IF(EF97="Sửa",1,0)</formula>
    </cfRule>
  </conditionalFormatting>
  <conditionalFormatting sqref="AG88:AG89 AG85:AG86 AG93:AG96 AG91">
    <cfRule type="cellIs" dxfId="367" priority="4997" stopIfTrue="1" operator="between">
      <formula>"%"</formula>
      <formula>"%"</formula>
    </cfRule>
    <cfRule type="expression" dxfId="366" priority="4998" stopIfTrue="1">
      <formula>IF(AF85=AQ85,1,0)</formula>
    </cfRule>
  </conditionalFormatting>
  <conditionalFormatting sqref="AP83:AP84">
    <cfRule type="cellIs" dxfId="365" priority="4007" stopIfTrue="1" operator="between">
      <formula>"%"</formula>
      <formula>"%"</formula>
    </cfRule>
    <cfRule type="expression" dxfId="364" priority="4008" stopIfTrue="1">
      <formula>IF(AO83=AQ83,1,0)</formula>
    </cfRule>
  </conditionalFormatting>
  <conditionalFormatting sqref="E83:E84 L83:S84">
    <cfRule type="expression" dxfId="363" priority="4005" stopIfTrue="1">
      <formula>IF(CW83="Hưu",1,0)</formula>
    </cfRule>
    <cfRule type="expression" dxfId="362" priority="4006" stopIfTrue="1">
      <formula>IF(CW83="Quá",1,0)</formula>
    </cfRule>
  </conditionalFormatting>
  <conditionalFormatting sqref="DO83">
    <cfRule type="expression" dxfId="361" priority="4002" stopIfTrue="1">
      <formula>IF(FI83="Hưu",1,0)</formula>
    </cfRule>
    <cfRule type="expression" dxfId="360" priority="4003" stopIfTrue="1">
      <formula>IF(FI83="Quá",1,0)</formula>
    </cfRule>
    <cfRule type="expression" dxfId="359" priority="4004" stopIfTrue="1">
      <formula>IF(EQ83="Lùi",1,0)</formula>
    </cfRule>
  </conditionalFormatting>
  <conditionalFormatting sqref="DV83:DV84">
    <cfRule type="expression" dxfId="358" priority="4000" stopIfTrue="1">
      <formula>IF(FN83="Hưu",1,0)</formula>
    </cfRule>
    <cfRule type="expression" dxfId="357" priority="4001" stopIfTrue="1">
      <formula>IF(FN83="Quá",1,0)</formula>
    </cfRule>
  </conditionalFormatting>
  <conditionalFormatting sqref="AB83:AB84">
    <cfRule type="cellIs" dxfId="356" priority="3997" stopIfTrue="1" operator="between">
      <formula>0</formula>
      <formula>0</formula>
    </cfRule>
    <cfRule type="expression" dxfId="355" priority="3998" stopIfTrue="1">
      <formula>IF(AND(AD83&gt;AB83,AB83&gt;0),1,0)</formula>
    </cfRule>
    <cfRule type="expression" dxfId="354" priority="3999" stopIfTrue="1">
      <formula>IF(AD83&lt;AB83,1,0)</formula>
    </cfRule>
  </conditionalFormatting>
  <conditionalFormatting sqref="CV83">
    <cfRule type="cellIs" dxfId="353" priority="3994" stopIfTrue="1" operator="between">
      <formula>"Hưu"</formula>
      <formula>"Hưu"</formula>
    </cfRule>
    <cfRule type="cellIs" dxfId="352" priority="3995" stopIfTrue="1" operator="between">
      <formula>"---"</formula>
      <formula>"---"</formula>
    </cfRule>
    <cfRule type="cellIs" dxfId="351" priority="3996" stopIfTrue="1" operator="between">
      <formula>"Quá"</formula>
      <formula>"Quá"</formula>
    </cfRule>
  </conditionalFormatting>
  <conditionalFormatting sqref="BF83">
    <cfRule type="expression" dxfId="350" priority="3991" stopIfTrue="1">
      <formula>IF(BF83="Đến %",1,0)</formula>
    </cfRule>
    <cfRule type="expression" dxfId="349" priority="3992" stopIfTrue="1">
      <formula>IF(BF83="Dừng %",1,0)</formula>
    </cfRule>
  </conditionalFormatting>
  <conditionalFormatting sqref="AA83">
    <cfRule type="cellIs" dxfId="348" priority="3989" stopIfTrue="1" operator="between">
      <formula>"Đến $"</formula>
      <formula>"Đến $"</formula>
    </cfRule>
    <cfRule type="cellIs" dxfId="347" priority="3990" stopIfTrue="1" operator="between">
      <formula>"Dừng $"</formula>
      <formula>"Dừng $"</formula>
    </cfRule>
  </conditionalFormatting>
  <conditionalFormatting sqref="BX83">
    <cfRule type="cellIs" dxfId="346" priority="3988" stopIfTrue="1" operator="between">
      <formula>0</formula>
      <formula>13</formula>
    </cfRule>
  </conditionalFormatting>
  <conditionalFormatting sqref="AM83:AM84">
    <cfRule type="expression" dxfId="345" priority="3987" stopIfTrue="1">
      <formula>IF(AND(BC83=0,AM83&gt;0),1,0)</formula>
    </cfRule>
  </conditionalFormatting>
  <conditionalFormatting sqref="EF83">
    <cfRule type="expression" dxfId="344" priority="3986" stopIfTrue="1">
      <formula>IF(EF83="Sửa",1,0)</formula>
    </cfRule>
  </conditionalFormatting>
  <conditionalFormatting sqref="BT83:BT84">
    <cfRule type="expression" dxfId="343" priority="3985" stopIfTrue="1">
      <formula>IF(AND(BY83=0,OR($AA$4-BT83&gt;BY83,$AA$4-BT83&lt;BY83)),1,0)</formula>
    </cfRule>
  </conditionalFormatting>
  <conditionalFormatting sqref="BN83:BN84">
    <cfRule type="expression" dxfId="342" priority="3984" stopIfTrue="1">
      <formula>IF(AND(BY83=0,BN83&gt;0),1,0)</formula>
    </cfRule>
  </conditionalFormatting>
  <conditionalFormatting sqref="BI83:BK84">
    <cfRule type="expression" dxfId="341" priority="3956" stopIfTrue="1">
      <formula>IF(AND(BR83=0,OR($AA$4-BI83&gt;BR83,$AA$4-BI83&lt;BR83)),1,0)</formula>
    </cfRule>
  </conditionalFormatting>
  <conditionalFormatting sqref="CV84">
    <cfRule type="cellIs" dxfId="340" priority="3943" stopIfTrue="1" operator="between">
      <formula>"Hưu"</formula>
      <formula>"Hưu"</formula>
    </cfRule>
    <cfRule type="cellIs" dxfId="339" priority="3944" stopIfTrue="1" operator="between">
      <formula>"---"</formula>
      <formula>"---"</formula>
    </cfRule>
    <cfRule type="cellIs" dxfId="338" priority="3945" stopIfTrue="1" operator="between">
      <formula>"Quá"</formula>
      <formula>"Quá"</formula>
    </cfRule>
  </conditionalFormatting>
  <conditionalFormatting sqref="BG84">
    <cfRule type="cellIs" dxfId="337" priority="3942" stopIfTrue="1" operator="between">
      <formula>4</formula>
      <formula>4</formula>
    </cfRule>
  </conditionalFormatting>
  <conditionalFormatting sqref="BF84">
    <cfRule type="expression" dxfId="336" priority="3940" stopIfTrue="1">
      <formula>IF(BF84="Đến %",1,0)</formula>
    </cfRule>
    <cfRule type="expression" dxfId="335" priority="3941" stopIfTrue="1">
      <formula>IF(BF84="Dừng %",1,0)</formula>
    </cfRule>
  </conditionalFormatting>
  <conditionalFormatting sqref="AA84">
    <cfRule type="cellIs" dxfId="334" priority="3938" stopIfTrue="1" operator="between">
      <formula>"Đến $"</formula>
      <formula>"Đến $"</formula>
    </cfRule>
    <cfRule type="cellIs" dxfId="333" priority="3939" stopIfTrue="1" operator="between">
      <formula>"Dừng $"</formula>
      <formula>"Dừng $"</formula>
    </cfRule>
  </conditionalFormatting>
  <conditionalFormatting sqref="BX84">
    <cfRule type="cellIs" dxfId="332" priority="3937" stopIfTrue="1" operator="between">
      <formula>0</formula>
      <formula>13</formula>
    </cfRule>
  </conditionalFormatting>
  <conditionalFormatting sqref="EF84">
    <cfRule type="expression" dxfId="331" priority="3936" stopIfTrue="1">
      <formula>IF(EF84="Sửa",1,0)</formula>
    </cfRule>
  </conditionalFormatting>
  <conditionalFormatting sqref="BR83:BR84">
    <cfRule type="expression" dxfId="330" priority="3925" stopIfTrue="1">
      <formula>IF(AND(BO83=0,OR($AA$4-BR83&gt;BO83,$AA$4-BR83&lt;BO83)),1,0)</formula>
    </cfRule>
  </conditionalFormatting>
  <conditionalFormatting sqref="C83:C84">
    <cfRule type="expression" dxfId="329" priority="3922" stopIfTrue="1">
      <formula>IF(CY83="Hưu",1,0)</formula>
    </cfRule>
    <cfRule type="expression" dxfId="328" priority="3923" stopIfTrue="1">
      <formula>IF(CY83="Quá",1,0)</formula>
    </cfRule>
    <cfRule type="expression" dxfId="327" priority="3924" stopIfTrue="1">
      <formula>IF(BD83="Lùi",1,0)</formula>
    </cfRule>
  </conditionalFormatting>
  <conditionalFormatting sqref="A83:A84">
    <cfRule type="expression" dxfId="326" priority="3919" stopIfTrue="1">
      <formula>IF(CW83="Hưu",1,0)</formula>
    </cfRule>
    <cfRule type="expression" dxfId="325" priority="3920" stopIfTrue="1">
      <formula>IF(CW83="Quá",1,0)</formula>
    </cfRule>
    <cfRule type="expression" dxfId="324" priority="3921" stopIfTrue="1">
      <formula>IF(AM83="Lùi",1,0)</formula>
    </cfRule>
  </conditionalFormatting>
  <conditionalFormatting sqref="AP78:AP82">
    <cfRule type="cellIs" dxfId="323" priority="1790" stopIfTrue="1" operator="between">
      <formula>"%"</formula>
      <formula>"%"</formula>
    </cfRule>
    <cfRule type="expression" dxfId="322" priority="1791" stopIfTrue="1">
      <formula>IF(AO78=AQ78,1,0)</formula>
    </cfRule>
  </conditionalFormatting>
  <conditionalFormatting sqref="L79:S80 E78:E80 M78:S78 E82 L82:S82 M81:S81">
    <cfRule type="expression" dxfId="321" priority="1788" stopIfTrue="1">
      <formula>IF(CW78="Hưu",1,0)</formula>
    </cfRule>
    <cfRule type="expression" dxfId="320" priority="1789" stopIfTrue="1">
      <formula>IF(CW78="Quá",1,0)</formula>
    </cfRule>
  </conditionalFormatting>
  <conditionalFormatting sqref="DO81:DO82">
    <cfRule type="expression" dxfId="319" priority="1785" stopIfTrue="1">
      <formula>IF(FI81="Hưu",1,0)</formula>
    </cfRule>
    <cfRule type="expression" dxfId="318" priority="1786" stopIfTrue="1">
      <formula>IF(FI81="Quá",1,0)</formula>
    </cfRule>
    <cfRule type="expression" dxfId="317" priority="1787" stopIfTrue="1">
      <formula>IF(EQ81="Lùi",1,0)</formula>
    </cfRule>
  </conditionalFormatting>
  <conditionalFormatting sqref="DV78:DV80 DV82">
    <cfRule type="expression" dxfId="316" priority="1783" stopIfTrue="1">
      <formula>IF(FN78="Hưu",1,0)</formula>
    </cfRule>
    <cfRule type="expression" dxfId="315" priority="1784" stopIfTrue="1">
      <formula>IF(FN78="Quá",1,0)</formula>
    </cfRule>
  </conditionalFormatting>
  <conditionalFormatting sqref="AB78:AB82">
    <cfRule type="cellIs" dxfId="314" priority="1780" stopIfTrue="1" operator="between">
      <formula>0</formula>
      <formula>0</formula>
    </cfRule>
    <cfRule type="expression" dxfId="313" priority="1781" stopIfTrue="1">
      <formula>IF(AND(AD78&gt;AB78,AB78&gt;0),1,0)</formula>
    </cfRule>
    <cfRule type="expression" dxfId="312" priority="1782" stopIfTrue="1">
      <formula>IF(AD78&lt;AB78,1,0)</formula>
    </cfRule>
  </conditionalFormatting>
  <conditionalFormatting sqref="CV82 CV78">
    <cfRule type="cellIs" dxfId="311" priority="1777" stopIfTrue="1" operator="between">
      <formula>"Hưu"</formula>
      <formula>"Hưu"</formula>
    </cfRule>
    <cfRule type="cellIs" dxfId="310" priority="1778" stopIfTrue="1" operator="between">
      <formula>"---"</formula>
      <formula>"---"</formula>
    </cfRule>
    <cfRule type="cellIs" dxfId="309" priority="1779" stopIfTrue="1" operator="between">
      <formula>"Quá"</formula>
      <formula>"Quá"</formula>
    </cfRule>
  </conditionalFormatting>
  <conditionalFormatting sqref="BG78">
    <cfRule type="cellIs" dxfId="308" priority="1776" stopIfTrue="1" operator="between">
      <formula>4</formula>
      <formula>4</formula>
    </cfRule>
  </conditionalFormatting>
  <conditionalFormatting sqref="BF82 BF78">
    <cfRule type="expression" dxfId="307" priority="1774" stopIfTrue="1">
      <formula>IF(BF78="Đến %",1,0)</formula>
    </cfRule>
    <cfRule type="expression" dxfId="306" priority="1775" stopIfTrue="1">
      <formula>IF(BF78="Dừng %",1,0)</formula>
    </cfRule>
  </conditionalFormatting>
  <conditionalFormatting sqref="AA78 AA81:AA82">
    <cfRule type="cellIs" dxfId="305" priority="1772" stopIfTrue="1" operator="between">
      <formula>"Đến $"</formula>
      <formula>"Đến $"</formula>
    </cfRule>
    <cfRule type="cellIs" dxfId="304" priority="1773" stopIfTrue="1" operator="between">
      <formula>"Dừng $"</formula>
      <formula>"Dừng $"</formula>
    </cfRule>
  </conditionalFormatting>
  <conditionalFormatting sqref="BX78 BX81:BX82">
    <cfRule type="cellIs" dxfId="303" priority="1771" stopIfTrue="1" operator="between">
      <formula>0</formula>
      <formula>13</formula>
    </cfRule>
  </conditionalFormatting>
  <conditionalFormatting sqref="AM78:AM82">
    <cfRule type="expression" dxfId="302" priority="1770" stopIfTrue="1">
      <formula>IF(AND(BC78=0,AM78&gt;0),1,0)</formula>
    </cfRule>
  </conditionalFormatting>
  <conditionalFormatting sqref="EF82 EF78">
    <cfRule type="expression" dxfId="301" priority="1769" stopIfTrue="1">
      <formula>IF(EF78="Sửa",1,0)</formula>
    </cfRule>
  </conditionalFormatting>
  <conditionalFormatting sqref="BT78:BT82">
    <cfRule type="expression" dxfId="300" priority="1768" stopIfTrue="1">
      <formula>IF(AND(BY78=0,OR($AA$4-BT78&gt;BY78,$AA$4-BT78&lt;BY78)),1,0)</formula>
    </cfRule>
  </conditionalFormatting>
  <conditionalFormatting sqref="BN78:BN82">
    <cfRule type="expression" dxfId="299" priority="1767" stopIfTrue="1">
      <formula>IF(AND(BY78=0,BN78&gt;0),1,0)</formula>
    </cfRule>
  </conditionalFormatting>
  <conditionalFormatting sqref="CV81">
    <cfRule type="cellIs" dxfId="298" priority="1764" stopIfTrue="1" operator="between">
      <formula>"Hưu"</formula>
      <formula>"Hưu"</formula>
    </cfRule>
    <cfRule type="cellIs" dxfId="297" priority="1765" stopIfTrue="1" operator="between">
      <formula>"---"</formula>
      <formula>"---"</formula>
    </cfRule>
    <cfRule type="cellIs" dxfId="296" priority="1766" stopIfTrue="1" operator="between">
      <formula>"Quá"</formula>
      <formula>"Quá"</formula>
    </cfRule>
  </conditionalFormatting>
  <conditionalFormatting sqref="BG81">
    <cfRule type="cellIs" dxfId="295" priority="1763" stopIfTrue="1" operator="between">
      <formula>4</formula>
      <formula>4</formula>
    </cfRule>
  </conditionalFormatting>
  <conditionalFormatting sqref="BF81">
    <cfRule type="expression" dxfId="294" priority="1761" stopIfTrue="1">
      <formula>IF(BF81="Đến %",1,0)</formula>
    </cfRule>
    <cfRule type="expression" dxfId="293" priority="1762" stopIfTrue="1">
      <formula>IF(BF81="Dừng %",1,0)</formula>
    </cfRule>
  </conditionalFormatting>
  <conditionalFormatting sqref="EF81">
    <cfRule type="expression" dxfId="292" priority="1760" stopIfTrue="1">
      <formula>IF(EF81="Sửa",1,0)</formula>
    </cfRule>
  </conditionalFormatting>
  <conditionalFormatting sqref="CV80">
    <cfRule type="cellIs" dxfId="291" priority="1757" stopIfTrue="1" operator="between">
      <formula>"Hưu"</formula>
      <formula>"Hưu"</formula>
    </cfRule>
    <cfRule type="cellIs" dxfId="290" priority="1758" stopIfTrue="1" operator="between">
      <formula>"---"</formula>
      <formula>"---"</formula>
    </cfRule>
    <cfRule type="cellIs" dxfId="289" priority="1759" stopIfTrue="1" operator="between">
      <formula>"Quá"</formula>
      <formula>"Quá"</formula>
    </cfRule>
  </conditionalFormatting>
  <conditionalFormatting sqref="BG80">
    <cfRule type="cellIs" dxfId="288" priority="1756" stopIfTrue="1" operator="between">
      <formula>4</formula>
      <formula>4</formula>
    </cfRule>
  </conditionalFormatting>
  <conditionalFormatting sqref="BF80">
    <cfRule type="expression" dxfId="287" priority="1754" stopIfTrue="1">
      <formula>IF(BF80="Đến %",1,0)</formula>
    </cfRule>
    <cfRule type="expression" dxfId="286" priority="1755" stopIfTrue="1">
      <formula>IF(BF80="Dừng %",1,0)</formula>
    </cfRule>
  </conditionalFormatting>
  <conditionalFormatting sqref="AA80">
    <cfRule type="cellIs" dxfId="285" priority="1752" stopIfTrue="1" operator="between">
      <formula>"Đến $"</formula>
      <formula>"Đến $"</formula>
    </cfRule>
    <cfRule type="cellIs" dxfId="284" priority="1753" stopIfTrue="1" operator="between">
      <formula>"Dừng $"</formula>
      <formula>"Dừng $"</formula>
    </cfRule>
  </conditionalFormatting>
  <conditionalFormatting sqref="BX80">
    <cfRule type="cellIs" dxfId="283" priority="1751" stopIfTrue="1" operator="between">
      <formula>0</formula>
      <formula>13</formula>
    </cfRule>
  </conditionalFormatting>
  <conditionalFormatting sqref="EF80">
    <cfRule type="expression" dxfId="282" priority="1750" stopIfTrue="1">
      <formula>IF(EF80="Sửa",1,0)</formula>
    </cfRule>
  </conditionalFormatting>
  <conditionalFormatting sqref="BI79 BI82 BJ78:BK82">
    <cfRule type="expression" dxfId="281" priority="1739" stopIfTrue="1">
      <formula>IF(AND(BR78=0,OR($AA$4-BI78&gt;BR78,$AA$4-BI78&lt;BR78)),1,0)</formula>
    </cfRule>
  </conditionalFormatting>
  <conditionalFormatting sqref="CV79">
    <cfRule type="cellIs" dxfId="280" priority="1736" stopIfTrue="1" operator="between">
      <formula>"Hưu"</formula>
      <formula>"Hưu"</formula>
    </cfRule>
    <cfRule type="cellIs" dxfId="279" priority="1737" stopIfTrue="1" operator="between">
      <formula>"---"</formula>
      <formula>"---"</formula>
    </cfRule>
    <cfRule type="cellIs" dxfId="278" priority="1738" stopIfTrue="1" operator="between">
      <formula>"Quá"</formula>
      <formula>"Quá"</formula>
    </cfRule>
  </conditionalFormatting>
  <conditionalFormatting sqref="BG79">
    <cfRule type="cellIs" dxfId="277" priority="1735" stopIfTrue="1" operator="between">
      <formula>4</formula>
      <formula>4</formula>
    </cfRule>
  </conditionalFormatting>
  <conditionalFormatting sqref="BF79">
    <cfRule type="expression" dxfId="276" priority="1733" stopIfTrue="1">
      <formula>IF(BF79="Đến %",1,0)</formula>
    </cfRule>
    <cfRule type="expression" dxfId="275" priority="1734" stopIfTrue="1">
      <formula>IF(BF79="Dừng %",1,0)</formula>
    </cfRule>
  </conditionalFormatting>
  <conditionalFormatting sqref="AA79">
    <cfRule type="cellIs" dxfId="274" priority="1731" stopIfTrue="1" operator="between">
      <formula>"Đến $"</formula>
      <formula>"Đến $"</formula>
    </cfRule>
    <cfRule type="cellIs" dxfId="273" priority="1732" stopIfTrue="1" operator="between">
      <formula>"Dừng $"</formula>
      <formula>"Dừng $"</formula>
    </cfRule>
  </conditionalFormatting>
  <conditionalFormatting sqref="BX79">
    <cfRule type="cellIs" dxfId="272" priority="1730" stopIfTrue="1" operator="between">
      <formula>0</formula>
      <formula>13</formula>
    </cfRule>
  </conditionalFormatting>
  <conditionalFormatting sqref="EF79">
    <cfRule type="expression" dxfId="271" priority="1729" stopIfTrue="1">
      <formula>IF(EF79="Sửa",1,0)</formula>
    </cfRule>
  </conditionalFormatting>
  <conditionalFormatting sqref="BR78:BR82">
    <cfRule type="expression" dxfId="270" priority="1718" stopIfTrue="1">
      <formula>IF(AND(BO78=0,OR($AA$4-BR78&gt;BO78,$AA$4-BR78&lt;BO78)),1,0)</formula>
    </cfRule>
  </conditionalFormatting>
  <conditionalFormatting sqref="C78:C82">
    <cfRule type="expression" dxfId="269" priority="1715" stopIfTrue="1">
      <formula>IF(CY78="Hưu",1,0)</formula>
    </cfRule>
    <cfRule type="expression" dxfId="268" priority="1716" stopIfTrue="1">
      <formula>IF(CY78="Quá",1,0)</formula>
    </cfRule>
    <cfRule type="expression" dxfId="267" priority="1717" stopIfTrue="1">
      <formula>IF(BD78="Lùi",1,0)</formula>
    </cfRule>
  </conditionalFormatting>
  <conditionalFormatting sqref="A78:A82">
    <cfRule type="expression" dxfId="266" priority="1712" stopIfTrue="1">
      <formula>IF(CW78="Hưu",1,0)</formula>
    </cfRule>
    <cfRule type="expression" dxfId="265" priority="1713" stopIfTrue="1">
      <formula>IF(CW78="Quá",1,0)</formula>
    </cfRule>
    <cfRule type="expression" dxfId="264" priority="1714" stopIfTrue="1">
      <formula>IF(AM78="Lùi",1,0)</formula>
    </cfRule>
  </conditionalFormatting>
  <conditionalFormatting sqref="E77 L75:S77">
    <cfRule type="expression" dxfId="263" priority="703" stopIfTrue="1">
      <formula>IF(CW75="Hưu",1,0)</formula>
    </cfRule>
    <cfRule type="expression" dxfId="262" priority="704" stopIfTrue="1">
      <formula>IF(CW75="Quá",1,0)</formula>
    </cfRule>
  </conditionalFormatting>
  <conditionalFormatting sqref="DO75:DO77">
    <cfRule type="expression" dxfId="261" priority="700" stopIfTrue="1">
      <formula>IF(FI75="Hưu",1,0)</formula>
    </cfRule>
    <cfRule type="expression" dxfId="260" priority="701" stopIfTrue="1">
      <formula>IF(FI75="Quá",1,0)</formula>
    </cfRule>
    <cfRule type="expression" dxfId="259" priority="702" stopIfTrue="1">
      <formula>IF(EQ75="Lùi",1,0)</formula>
    </cfRule>
  </conditionalFormatting>
  <conditionalFormatting sqref="DV77">
    <cfRule type="expression" dxfId="258" priority="698" stopIfTrue="1">
      <formula>IF(FN77="Hưu",1,0)</formula>
    </cfRule>
    <cfRule type="expression" dxfId="257" priority="699" stopIfTrue="1">
      <formula>IF(FN77="Quá",1,0)</formula>
    </cfRule>
  </conditionalFormatting>
  <conditionalFormatting sqref="AB75 AB77">
    <cfRule type="cellIs" dxfId="256" priority="695" stopIfTrue="1" operator="between">
      <formula>0</formula>
      <formula>0</formula>
    </cfRule>
    <cfRule type="expression" dxfId="255" priority="696" stopIfTrue="1">
      <formula>IF(AND(AD75&gt;AB75,AB75&gt;0),1,0)</formula>
    </cfRule>
    <cfRule type="expression" dxfId="254" priority="697" stopIfTrue="1">
      <formula>IF(AD75&lt;AB75,1,0)</formula>
    </cfRule>
  </conditionalFormatting>
  <conditionalFormatting sqref="CV75:CV77">
    <cfRule type="cellIs" dxfId="253" priority="692" stopIfTrue="1" operator="between">
      <formula>"Hưu"</formula>
      <formula>"Hưu"</formula>
    </cfRule>
    <cfRule type="cellIs" dxfId="252" priority="693" stopIfTrue="1" operator="between">
      <formula>"---"</formula>
      <formula>"---"</formula>
    </cfRule>
    <cfRule type="cellIs" dxfId="251" priority="694" stopIfTrue="1" operator="between">
      <formula>"Quá"</formula>
      <formula>"Quá"</formula>
    </cfRule>
  </conditionalFormatting>
  <conditionalFormatting sqref="BG75:BG77">
    <cfRule type="cellIs" dxfId="250" priority="691" stopIfTrue="1" operator="between">
      <formula>4</formula>
      <formula>4</formula>
    </cfRule>
  </conditionalFormatting>
  <conditionalFormatting sqref="BF75:BF77">
    <cfRule type="expression" dxfId="249" priority="689" stopIfTrue="1">
      <formula>IF(BF75="Đến %",1,0)</formula>
    </cfRule>
    <cfRule type="expression" dxfId="248" priority="690" stopIfTrue="1">
      <formula>IF(BF75="Dừng %",1,0)</formula>
    </cfRule>
  </conditionalFormatting>
  <conditionalFormatting sqref="AA75:AA77">
    <cfRule type="cellIs" dxfId="247" priority="687" stopIfTrue="1" operator="between">
      <formula>"Đến $"</formula>
      <formula>"Đến $"</formula>
    </cfRule>
    <cfRule type="cellIs" dxfId="246" priority="688" stopIfTrue="1" operator="between">
      <formula>"Dừng $"</formula>
      <formula>"Dừng $"</formula>
    </cfRule>
  </conditionalFormatting>
  <conditionalFormatting sqref="BX75:BX77">
    <cfRule type="cellIs" dxfId="245" priority="686" stopIfTrue="1" operator="between">
      <formula>0</formula>
      <formula>13</formula>
    </cfRule>
  </conditionalFormatting>
  <conditionalFormatting sqref="AM75:AM77">
    <cfRule type="expression" dxfId="244" priority="685" stopIfTrue="1">
      <formula>IF(AND(BC75=0,AM75&gt;0),1,0)</formula>
    </cfRule>
  </conditionalFormatting>
  <conditionalFormatting sqref="EF75:EF77">
    <cfRule type="expression" dxfId="243" priority="684" stopIfTrue="1">
      <formula>IF(EF75="Sửa",1,0)</formula>
    </cfRule>
  </conditionalFormatting>
  <conditionalFormatting sqref="BT75:BT77">
    <cfRule type="expression" dxfId="242" priority="683" stopIfTrue="1">
      <formula>IF(AND(BY75=0,OR($AA$4-BT75&gt;BY75,$AA$4-BT75&lt;BY75)),1,0)</formula>
    </cfRule>
  </conditionalFormatting>
  <conditionalFormatting sqref="BN75:BN77">
    <cfRule type="expression" dxfId="241" priority="682" stopIfTrue="1">
      <formula>IF(AND(BY75=0,BN75&gt;0),1,0)</formula>
    </cfRule>
  </conditionalFormatting>
  <conditionalFormatting sqref="BR75:BR77">
    <cfRule type="expression" dxfId="240" priority="665" stopIfTrue="1">
      <formula>IF(AND(BO75=0,OR($AA$4-BR75&gt;BO75,$AA$4-BR75&lt;BO75)),1,0)</formula>
    </cfRule>
  </conditionalFormatting>
  <conditionalFormatting sqref="C75:C77">
    <cfRule type="expression" dxfId="239" priority="662" stopIfTrue="1">
      <formula>IF(CY75="Hưu",1,0)</formula>
    </cfRule>
    <cfRule type="expression" dxfId="238" priority="663" stopIfTrue="1">
      <formula>IF(CY75="Quá",1,0)</formula>
    </cfRule>
    <cfRule type="expression" dxfId="237" priority="664" stopIfTrue="1">
      <formula>IF(BD75="Lùi",1,0)</formula>
    </cfRule>
  </conditionalFormatting>
  <conditionalFormatting sqref="A75:A77">
    <cfRule type="expression" dxfId="236" priority="659" stopIfTrue="1">
      <formula>IF(CW75="Hưu",1,0)</formula>
    </cfRule>
    <cfRule type="expression" dxfId="235" priority="660" stopIfTrue="1">
      <formula>IF(CW75="Quá",1,0)</formula>
    </cfRule>
    <cfRule type="expression" dxfId="234" priority="661" stopIfTrue="1">
      <formula>IF(AM75="Lùi",1,0)</formula>
    </cfRule>
  </conditionalFormatting>
  <conditionalFormatting sqref="AG75 AG77">
    <cfRule type="cellIs" dxfId="233" priority="657" stopIfTrue="1" operator="between">
      <formula>"%"</formula>
      <formula>"%"</formula>
    </cfRule>
    <cfRule type="expression" dxfId="232" priority="658" stopIfTrue="1">
      <formula>IF(AF75=AQ75,1,0)</formula>
    </cfRule>
  </conditionalFormatting>
  <conditionalFormatting sqref="BI75:BI77">
    <cfRule type="expression" dxfId="231" priority="646" stopIfTrue="1">
      <formula>IF(AND(BF75=0,OR($AA$4-BI75&gt;BF75,$AA$4-BI75&lt;BF75)),1,0)</formula>
    </cfRule>
  </conditionalFormatting>
  <conditionalFormatting sqref="BK75:BK77">
    <cfRule type="expression" dxfId="230" priority="645" stopIfTrue="1">
      <formula>IF(AND(BP75=0,OR($AA$4-BK75&gt;BP75,$AA$4-BK75&lt;BP75)),1,0)</formula>
    </cfRule>
  </conditionalFormatting>
  <conditionalFormatting sqref="EF54:EF71 EF73:EF74">
    <cfRule type="expression" dxfId="229" priority="312" stopIfTrue="1">
      <formula>IF(EF54="Sửa",1,0)</formula>
    </cfRule>
  </conditionalFormatting>
  <conditionalFormatting sqref="AA54">
    <cfRule type="cellIs" dxfId="228" priority="296" stopIfTrue="1" operator="between">
      <formula>"Đến $"</formula>
      <formula>"Đến $"</formula>
    </cfRule>
    <cfRule type="cellIs" dxfId="227" priority="297" stopIfTrue="1" operator="between">
      <formula>"Dừng $"</formula>
      <formula>"Dừng $"</formula>
    </cfRule>
  </conditionalFormatting>
  <conditionalFormatting sqref="DW64:DW68">
    <cfRule type="expression" dxfId="226" priority="333" stopIfTrue="1">
      <formula>IF(DV64=0,1,0)</formula>
    </cfRule>
  </conditionalFormatting>
  <conditionalFormatting sqref="E54:E55 V73 E59:E68 L55:S71 E73:E74 L73:S74">
    <cfRule type="expression" dxfId="225" priority="331" stopIfTrue="1">
      <formula>IF(CW54="Hưu",1,0)</formula>
    </cfRule>
    <cfRule type="expression" dxfId="224" priority="332" stopIfTrue="1">
      <formula>IF(CW54="Quá",1,0)</formula>
    </cfRule>
  </conditionalFormatting>
  <conditionalFormatting sqref="DO54:DO62 DO64:DO71">
    <cfRule type="expression" dxfId="223" priority="328" stopIfTrue="1">
      <formula>IF(FI54="Hưu",1,0)</formula>
    </cfRule>
    <cfRule type="expression" dxfId="222" priority="329" stopIfTrue="1">
      <formula>IF(FI54="Quá",1,0)</formula>
    </cfRule>
    <cfRule type="expression" dxfId="221" priority="330" stopIfTrue="1">
      <formula>IF(EQ54="Lùi",1,0)</formula>
    </cfRule>
  </conditionalFormatting>
  <conditionalFormatting sqref="DV69 DV54:DV56 DV59:DV63 DV73:DV74">
    <cfRule type="expression" dxfId="220" priority="326" stopIfTrue="1">
      <formula>IF(FN54="Hưu",1,0)</formula>
    </cfRule>
    <cfRule type="expression" dxfId="219" priority="327" stopIfTrue="1">
      <formula>IF(FN54="Quá",1,0)</formula>
    </cfRule>
  </conditionalFormatting>
  <conditionalFormatting sqref="AB70:AB71 AB59:AB68 AB73:AB74">
    <cfRule type="cellIs" dxfId="218" priority="323" stopIfTrue="1" operator="between">
      <formula>0</formula>
      <formula>0</formula>
    </cfRule>
    <cfRule type="expression" dxfId="217" priority="324" stopIfTrue="1">
      <formula>IF(AND(AD59&gt;AB59,AB59&gt;0),1,0)</formula>
    </cfRule>
    <cfRule type="expression" dxfId="216" priority="325" stopIfTrue="1">
      <formula>IF(AD59&lt;AB59,1,0)</formula>
    </cfRule>
  </conditionalFormatting>
  <conditionalFormatting sqref="CV54:CV71 CV73:CV74">
    <cfRule type="cellIs" dxfId="215" priority="320" stopIfTrue="1" operator="between">
      <formula>"Hưu"</formula>
      <formula>"Hưu"</formula>
    </cfRule>
    <cfRule type="cellIs" dxfId="214" priority="321" stopIfTrue="1" operator="between">
      <formula>"---"</formula>
      <formula>"---"</formula>
    </cfRule>
    <cfRule type="cellIs" dxfId="213" priority="322" stopIfTrue="1" operator="between">
      <formula>"Quá"</formula>
      <formula>"Quá"</formula>
    </cfRule>
  </conditionalFormatting>
  <conditionalFormatting sqref="BG55 BG70:BG71 BG57:BG68 BG73:BG74">
    <cfRule type="cellIs" dxfId="212" priority="319" stopIfTrue="1" operator="between">
      <formula>4</formula>
      <formula>4</formula>
    </cfRule>
  </conditionalFormatting>
  <conditionalFormatting sqref="BF54:BF71 BF73:BF74">
    <cfRule type="expression" dxfId="211" priority="317" stopIfTrue="1">
      <formula>IF(BF54="Đến %",1,0)</formula>
    </cfRule>
    <cfRule type="expression" dxfId="210" priority="318" stopIfTrue="1">
      <formula>IF(BF54="Dừng %",1,0)</formula>
    </cfRule>
  </conditionalFormatting>
  <conditionalFormatting sqref="AA55:AA71 AA73:AA74">
    <cfRule type="cellIs" dxfId="209" priority="315" stopIfTrue="1" operator="between">
      <formula>"Đến $"</formula>
      <formula>"Đến $"</formula>
    </cfRule>
    <cfRule type="cellIs" dxfId="208" priority="316" stopIfTrue="1" operator="between">
      <formula>"Dừng $"</formula>
      <formula>"Dừng $"</formula>
    </cfRule>
  </conditionalFormatting>
  <conditionalFormatting sqref="BX54:BX71 BX73:BX74">
    <cfRule type="cellIs" dxfId="207" priority="314" stopIfTrue="1" operator="between">
      <formula>0</formula>
      <formula>13</formula>
    </cfRule>
  </conditionalFormatting>
  <conditionalFormatting sqref="AM54:AM71 AM73:AM74">
    <cfRule type="expression" dxfId="206" priority="313" stopIfTrue="1">
      <formula>IF(AND(BC54=0,AM54&gt;0),1,0)</formula>
    </cfRule>
  </conditionalFormatting>
  <conditionalFormatting sqref="BK66:BK71 BT66:BT71 BT73:BT74 BK73:BK74">
    <cfRule type="expression" dxfId="205" priority="311" stopIfTrue="1">
      <formula>IF(AND(BP66=0,OR($AA$4-BK66&gt;BP66,$AA$4-BK66&lt;BP66)),1,0)</formula>
    </cfRule>
  </conditionalFormatting>
  <conditionalFormatting sqref="BN54:BN71 BN73:BN74">
    <cfRule type="expression" dxfId="204" priority="310" stopIfTrue="1">
      <formula>IF(AND(BY54=0,BN54&gt;0),1,0)</formula>
    </cfRule>
  </conditionalFormatting>
  <conditionalFormatting sqref="DO53">
    <cfRule type="expression" dxfId="203" priority="307" stopIfTrue="1">
      <formula>IF(FI53="Hưu",1,0)</formula>
    </cfRule>
    <cfRule type="expression" dxfId="202" priority="308" stopIfTrue="1">
      <formula>IF(FI53="Quá",1,0)</formula>
    </cfRule>
    <cfRule type="expression" dxfId="201" priority="309" stopIfTrue="1">
      <formula>IF(EQ53="Lùi",1,0)</formula>
    </cfRule>
  </conditionalFormatting>
  <conditionalFormatting sqref="AB53">
    <cfRule type="cellIs" dxfId="200" priority="304" stopIfTrue="1" operator="between">
      <formula>0</formula>
      <formula>0</formula>
    </cfRule>
    <cfRule type="expression" dxfId="199" priority="305" stopIfTrue="1">
      <formula>IF(AND(AD53&gt;AB53,AB53&gt;0),1,0)</formula>
    </cfRule>
    <cfRule type="expression" dxfId="198" priority="306" stopIfTrue="1">
      <formula>IF(AD53&lt;AB53,1,0)</formula>
    </cfRule>
  </conditionalFormatting>
  <conditionalFormatting sqref="CV53">
    <cfRule type="cellIs" dxfId="197" priority="301" stopIfTrue="1" operator="between">
      <formula>"Hưu"</formula>
      <formula>"Hưu"</formula>
    </cfRule>
    <cfRule type="cellIs" dxfId="196" priority="302" stopIfTrue="1" operator="between">
      <formula>"---"</formula>
      <formula>"---"</formula>
    </cfRule>
    <cfRule type="cellIs" dxfId="195" priority="303" stopIfTrue="1" operator="between">
      <formula>"Quá"</formula>
      <formula>"Quá"</formula>
    </cfRule>
  </conditionalFormatting>
  <conditionalFormatting sqref="AA53">
    <cfRule type="cellIs" dxfId="194" priority="298" stopIfTrue="1" operator="between">
      <formula>"Đến"</formula>
      <formula>"Đến"</formula>
    </cfRule>
    <cfRule type="cellIs" dxfId="193" priority="299" stopIfTrue="1" operator="between">
      <formula>"Quá"</formula>
      <formula>"Quá"</formula>
    </cfRule>
    <cfRule type="expression" dxfId="192" priority="300" stopIfTrue="1">
      <formula>IF(OR(AA53="Lương Sớm Hưu",AA53="Nâng Ngạch Hưu"),1,0)</formula>
    </cfRule>
  </conditionalFormatting>
  <conditionalFormatting sqref="BJ65:BK65 BJ64 BT53:BT65 BK60:BK64">
    <cfRule type="expression" dxfId="191" priority="295" stopIfTrue="1">
      <formula>IF(AND(BS53=0,OR($AA$4-BJ53&gt;BS53,$AA$4-BJ53&lt;BS53)),1,0)</formula>
    </cfRule>
  </conditionalFormatting>
  <conditionalFormatting sqref="BI66:BI71 BI55:BI58 BI60:BI63 BR55:BR71 BR73:BR74 BI73:BI74">
    <cfRule type="expression" dxfId="190" priority="293" stopIfTrue="1">
      <formula>IF(AND(BF55=0,OR($AA$4-BI55&gt;BF55,$AA$4-BI55&lt;BF55)),1,0)</formula>
    </cfRule>
  </conditionalFormatting>
  <conditionalFormatting sqref="C54:C71 C73:C74">
    <cfRule type="expression" dxfId="189" priority="290" stopIfTrue="1">
      <formula>IF(CY54="Hưu",1,0)</formula>
    </cfRule>
    <cfRule type="expression" dxfId="188" priority="291" stopIfTrue="1">
      <formula>IF(CY54="Quá",1,0)</formula>
    </cfRule>
    <cfRule type="expression" dxfId="187" priority="292" stopIfTrue="1">
      <formula>IF(BD54="Lùi",1,0)</formula>
    </cfRule>
  </conditionalFormatting>
  <conditionalFormatting sqref="A54:A71 A73:A74">
    <cfRule type="expression" dxfId="186" priority="287" stopIfTrue="1">
      <formula>IF(CW54="Hưu",1,0)</formula>
    </cfRule>
    <cfRule type="expression" dxfId="185" priority="288" stopIfTrue="1">
      <formula>IF(CW54="Quá",1,0)</formula>
    </cfRule>
    <cfRule type="expression" dxfId="184" priority="289" stopIfTrue="1">
      <formula>IF(AM54="Lùi",1,0)</formula>
    </cfRule>
  </conditionalFormatting>
  <conditionalFormatting sqref="AG54:AG57 AG69:AG70 AG59:AG63 AG73:AG74">
    <cfRule type="cellIs" dxfId="183" priority="285" stopIfTrue="1" operator="between">
      <formula>"%"</formula>
      <formula>"%"</formula>
    </cfRule>
    <cfRule type="expression" dxfId="182" priority="286" stopIfTrue="1">
      <formula>IF(AF54=AQ54,1,0)</formula>
    </cfRule>
  </conditionalFormatting>
  <conditionalFormatting sqref="AG65:AG68">
    <cfRule type="cellIs" dxfId="181" priority="283" stopIfTrue="1" operator="between">
      <formula>"%"</formula>
      <formula>"%"</formula>
    </cfRule>
    <cfRule type="expression" dxfId="180" priority="284" stopIfTrue="1">
      <formula>IF(AF65=AR65,1,0)</formula>
    </cfRule>
  </conditionalFormatting>
  <conditionalFormatting sqref="L54:S54">
    <cfRule type="expression" dxfId="179" priority="281" stopIfTrue="1">
      <formula>IF(DD54="Hưu",1,0)</formula>
    </cfRule>
    <cfRule type="expression" dxfId="178" priority="282" stopIfTrue="1">
      <formula>IF(DD54="Quá",1,0)</formula>
    </cfRule>
  </conditionalFormatting>
  <conditionalFormatting sqref="AA72">
    <cfRule type="cellIs" dxfId="177" priority="279" stopIfTrue="1" operator="between">
      <formula>"Đến $"</formula>
      <formula>"Đến $"</formula>
    </cfRule>
    <cfRule type="cellIs" dxfId="176" priority="280" stopIfTrue="1" operator="between">
      <formula>"Dừng $"</formula>
      <formula>"Dừng $"</formula>
    </cfRule>
  </conditionalFormatting>
  <conditionalFormatting sqref="BF72">
    <cfRule type="expression" dxfId="175" priority="277" stopIfTrue="1">
      <formula>IF(BF72="Đến %",1,0)</formula>
    </cfRule>
    <cfRule type="expression" dxfId="174" priority="278" stopIfTrue="1">
      <formula>IF(BF72="Dừng %",1,0)</formula>
    </cfRule>
  </conditionalFormatting>
  <conditionalFormatting sqref="BF53">
    <cfRule type="expression" dxfId="173" priority="275" stopIfTrue="1">
      <formula>IF(BF53="Đến %",1,0)</formula>
    </cfRule>
    <cfRule type="expression" dxfId="172" priority="276" stopIfTrue="1">
      <formula>IF(BF53="Dừng %",1,0)</formula>
    </cfRule>
  </conditionalFormatting>
  <conditionalFormatting sqref="BK53:BK58">
    <cfRule type="expression" dxfId="171" priority="274" stopIfTrue="1">
      <formula>IF(AND(BT53=0,OR($AA$4-BK53&gt;BT53,$AA$4-BK53&lt;BT53)),1,0)</formula>
    </cfRule>
  </conditionalFormatting>
  <conditionalFormatting sqref="BI59">
    <cfRule type="expression" dxfId="170" priority="273" stopIfTrue="1">
      <formula>IF(AND(BF59=0,OR($AA$4-BI59&gt;BF59,$AA$4-BI59&lt;BF59)),1,0)</formula>
    </cfRule>
  </conditionalFormatting>
  <conditionalFormatting sqref="BK59">
    <cfRule type="expression" dxfId="169" priority="272" stopIfTrue="1">
      <formula>IF(AND(BT59=0,OR($AA$4-BK59&gt;BT59,$AA$4-BK59&lt;BT59)),1,0)</formula>
    </cfRule>
  </conditionalFormatting>
  <conditionalFormatting sqref="AG64">
    <cfRule type="cellIs" dxfId="168" priority="270" stopIfTrue="1" operator="between">
      <formula>"%"</formula>
      <formula>"%"</formula>
    </cfRule>
    <cfRule type="expression" dxfId="167" priority="271" stopIfTrue="1">
      <formula>IF(AF64=AQ64,1,0)</formula>
    </cfRule>
  </conditionalFormatting>
  <conditionalFormatting sqref="AJ14 AV14">
    <cfRule type="expression" dxfId="166" priority="145" stopIfTrue="1">
      <formula>IF(AND(AP14=0,OR($AA$4-AJ14&gt;0,O$4-AJ14&lt;0)),1,0)</formula>
    </cfRule>
  </conditionalFormatting>
  <conditionalFormatting sqref="AA14">
    <cfRule type="cellIs" dxfId="165" priority="143" stopIfTrue="1" operator="between">
      <formula>"Đến $"</formula>
      <formula>"Đến $"</formula>
    </cfRule>
    <cfRule type="cellIs" dxfId="164" priority="144" stopIfTrue="1" operator="between">
      <formula>"Dừng $"</formula>
      <formula>"Dừng $"</formula>
    </cfRule>
  </conditionalFormatting>
  <conditionalFormatting sqref="AP14">
    <cfRule type="cellIs" dxfId="163" priority="141" stopIfTrue="1" operator="between">
      <formula>"%"</formula>
      <formula>"%"</formula>
    </cfRule>
    <cfRule type="expression" dxfId="162" priority="142" stopIfTrue="1">
      <formula>IF(AO14=AQ14,1,0)</formula>
    </cfRule>
  </conditionalFormatting>
  <conditionalFormatting sqref="O14">
    <cfRule type="expression" dxfId="161" priority="140" stopIfTrue="1">
      <formula>IF(P14=0,1,0)</formula>
    </cfRule>
  </conditionalFormatting>
  <conditionalFormatting sqref="DN14">
    <cfRule type="expression" dxfId="160" priority="137" stopIfTrue="1">
      <formula>IF(FF14="Hưu",1,0)</formula>
    </cfRule>
    <cfRule type="expression" dxfId="159" priority="138" stopIfTrue="1">
      <formula>IF(FF14="Quá",1,0)</formula>
    </cfRule>
    <cfRule type="expression" dxfId="158" priority="139" stopIfTrue="1">
      <formula>IF(EN14="Lùi",1,0)</formula>
    </cfRule>
  </conditionalFormatting>
  <conditionalFormatting sqref="DU14">
    <cfRule type="expression" dxfId="157" priority="135" stopIfTrue="1">
      <formula>IF(FK14="Hưu",1,0)</formula>
    </cfRule>
    <cfRule type="expression" dxfId="156" priority="136" stopIfTrue="1">
      <formula>IF(FK14="Quá",1,0)</formula>
    </cfRule>
  </conditionalFormatting>
  <conditionalFormatting sqref="CU14">
    <cfRule type="cellIs" dxfId="155" priority="132" stopIfTrue="1" operator="between">
      <formula>"Hưu"</formula>
      <formula>"Hưu"</formula>
    </cfRule>
    <cfRule type="cellIs" dxfId="154" priority="133" stopIfTrue="1" operator="between">
      <formula>"---"</formula>
      <formula>"---"</formula>
    </cfRule>
    <cfRule type="cellIs" dxfId="153" priority="134" stopIfTrue="1" operator="between">
      <formula>"Quá"</formula>
      <formula>"Quá"</formula>
    </cfRule>
  </conditionalFormatting>
  <conditionalFormatting sqref="BE14">
    <cfRule type="expression" dxfId="152" priority="130" stopIfTrue="1">
      <formula>IF(BE14="Đến %",1,0)</formula>
    </cfRule>
    <cfRule type="expression" dxfId="151" priority="131" stopIfTrue="1">
      <formula>IF(BE14="Dừng %",1,0)</formula>
    </cfRule>
  </conditionalFormatting>
  <conditionalFormatting sqref="BW14">
    <cfRule type="cellIs" dxfId="150" priority="129" stopIfTrue="1" operator="between">
      <formula>0</formula>
      <formula>13</formula>
    </cfRule>
  </conditionalFormatting>
  <conditionalFormatting sqref="EC14">
    <cfRule type="expression" dxfId="149" priority="128" stopIfTrue="1">
      <formula>IF(EC14="Sửa",1,0)</formula>
    </cfRule>
  </conditionalFormatting>
  <conditionalFormatting sqref="N14">
    <cfRule type="cellIs" dxfId="148" priority="127" stopIfTrue="1" operator="between">
      <formula>"Ko hạn"</formula>
      <formula>"Ko hạn"</formula>
    </cfRule>
  </conditionalFormatting>
  <conditionalFormatting sqref="Q14">
    <cfRule type="expression" dxfId="147" priority="126">
      <formula>IF(P14=0,1,0)</formula>
    </cfRule>
  </conditionalFormatting>
  <conditionalFormatting sqref="E14">
    <cfRule type="expression" dxfId="146" priority="124" stopIfTrue="1">
      <formula>IF(CV14="Hưu",1,0)</formula>
    </cfRule>
    <cfRule type="expression" dxfId="145" priority="125" stopIfTrue="1">
      <formula>IF(CV14="Quá",1,0)</formula>
    </cfRule>
  </conditionalFormatting>
  <conditionalFormatting sqref="AM14">
    <cfRule type="expression" dxfId="144" priority="123" stopIfTrue="1">
      <formula>IF(AND(BB14=0,AM14&gt;0),1,0)</formula>
    </cfRule>
  </conditionalFormatting>
  <conditionalFormatting sqref="C14">
    <cfRule type="expression" dxfId="143" priority="120" stopIfTrue="1">
      <formula>IF(CX14="Hưu",1,0)</formula>
    </cfRule>
    <cfRule type="expression" dxfId="142" priority="121" stopIfTrue="1">
      <formula>IF(CX14="Quá",1,0)</formula>
    </cfRule>
    <cfRule type="expression" dxfId="141" priority="122" stopIfTrue="1">
      <formula>IF(BC14="Lùi",1,0)</formula>
    </cfRule>
  </conditionalFormatting>
  <conditionalFormatting sqref="A14">
    <cfRule type="expression" dxfId="140" priority="117" stopIfTrue="1">
      <formula>IF(CV14="Hưu",1,0)</formula>
    </cfRule>
    <cfRule type="expression" dxfId="139" priority="118" stopIfTrue="1">
      <formula>IF(CV14="Quá",1,0)</formula>
    </cfRule>
    <cfRule type="expression" dxfId="138" priority="119" stopIfTrue="1">
      <formula>IF(AM14="Lùi",1,0)</formula>
    </cfRule>
  </conditionalFormatting>
  <conditionalFormatting sqref="AJ15 AV15">
    <cfRule type="expression" dxfId="137" priority="116" stopIfTrue="1">
      <formula>IF(AND(AP15=0,OR($AA$4-AJ15&gt;0,O$4-AJ15&lt;0)),1,0)</formula>
    </cfRule>
  </conditionalFormatting>
  <conditionalFormatting sqref="AA15">
    <cfRule type="cellIs" dxfId="136" priority="114" stopIfTrue="1" operator="between">
      <formula>"Đến $"</formula>
      <formula>"Đến $"</formula>
    </cfRule>
    <cfRule type="cellIs" dxfId="135" priority="115" stopIfTrue="1" operator="between">
      <formula>"Dừng $"</formula>
      <formula>"Dừng $"</formula>
    </cfRule>
  </conditionalFormatting>
  <conditionalFormatting sqref="AP15">
    <cfRule type="cellIs" dxfId="134" priority="112" stopIfTrue="1" operator="between">
      <formula>"%"</formula>
      <formula>"%"</formula>
    </cfRule>
    <cfRule type="expression" dxfId="133" priority="113" stopIfTrue="1">
      <formula>IF(AO15=AQ15,1,0)</formula>
    </cfRule>
  </conditionalFormatting>
  <conditionalFormatting sqref="O15">
    <cfRule type="expression" dxfId="132" priority="111" stopIfTrue="1">
      <formula>IF(P15=0,1,0)</formula>
    </cfRule>
  </conditionalFormatting>
  <conditionalFormatting sqref="DN15">
    <cfRule type="expression" dxfId="131" priority="108" stopIfTrue="1">
      <formula>IF(FF15="Hưu",1,0)</formula>
    </cfRule>
    <cfRule type="expression" dxfId="130" priority="109" stopIfTrue="1">
      <formula>IF(FF15="Quá",1,0)</formula>
    </cfRule>
    <cfRule type="expression" dxfId="129" priority="110" stopIfTrue="1">
      <formula>IF(EN15="Lùi",1,0)</formula>
    </cfRule>
  </conditionalFormatting>
  <conditionalFormatting sqref="DU15">
    <cfRule type="expression" dxfId="128" priority="106" stopIfTrue="1">
      <formula>IF(FK15="Hưu",1,0)</formula>
    </cfRule>
    <cfRule type="expression" dxfId="127" priority="107" stopIfTrue="1">
      <formula>IF(FK15="Quá",1,0)</formula>
    </cfRule>
  </conditionalFormatting>
  <conditionalFormatting sqref="CU15">
    <cfRule type="cellIs" dxfId="126" priority="103" stopIfTrue="1" operator="between">
      <formula>"Hưu"</formula>
      <formula>"Hưu"</formula>
    </cfRule>
    <cfRule type="cellIs" dxfId="125" priority="104" stopIfTrue="1" operator="between">
      <formula>"---"</formula>
      <formula>"---"</formula>
    </cfRule>
    <cfRule type="cellIs" dxfId="124" priority="105" stopIfTrue="1" operator="between">
      <formula>"Quá"</formula>
      <formula>"Quá"</formula>
    </cfRule>
  </conditionalFormatting>
  <conditionalFormatting sqref="BE15">
    <cfRule type="expression" dxfId="123" priority="101" stopIfTrue="1">
      <formula>IF(BE15="Đến %",1,0)</formula>
    </cfRule>
    <cfRule type="expression" dxfId="122" priority="102" stopIfTrue="1">
      <formula>IF(BE15="Dừng %",1,0)</formula>
    </cfRule>
  </conditionalFormatting>
  <conditionalFormatting sqref="BW15">
    <cfRule type="cellIs" dxfId="121" priority="100" stopIfTrue="1" operator="between">
      <formula>0</formula>
      <formula>13</formula>
    </cfRule>
  </conditionalFormatting>
  <conditionalFormatting sqref="EC15">
    <cfRule type="expression" dxfId="120" priority="99" stopIfTrue="1">
      <formula>IF(EC15="Sửa",1,0)</formula>
    </cfRule>
  </conditionalFormatting>
  <conditionalFormatting sqref="N15">
    <cfRule type="cellIs" dxfId="119" priority="98" stopIfTrue="1" operator="between">
      <formula>"Ko hạn"</formula>
      <formula>"Ko hạn"</formula>
    </cfRule>
  </conditionalFormatting>
  <conditionalFormatting sqref="Q15">
    <cfRule type="expression" dxfId="118" priority="97">
      <formula>IF(P15=0,1,0)</formula>
    </cfRule>
  </conditionalFormatting>
  <conditionalFormatting sqref="E15">
    <cfRule type="expression" dxfId="117" priority="95" stopIfTrue="1">
      <formula>IF(CV15="Hưu",1,0)</formula>
    </cfRule>
    <cfRule type="expression" dxfId="116" priority="96" stopIfTrue="1">
      <formula>IF(CV15="Quá",1,0)</formula>
    </cfRule>
  </conditionalFormatting>
  <conditionalFormatting sqref="AM15">
    <cfRule type="expression" dxfId="115" priority="94" stopIfTrue="1">
      <formula>IF(AND(BB15=0,AM15&gt;0),1,0)</formula>
    </cfRule>
  </conditionalFormatting>
  <conditionalFormatting sqref="C15">
    <cfRule type="expression" dxfId="114" priority="91" stopIfTrue="1">
      <formula>IF(CX15="Hưu",1,0)</formula>
    </cfRule>
    <cfRule type="expression" dxfId="113" priority="92" stopIfTrue="1">
      <formula>IF(CX15="Quá",1,0)</formula>
    </cfRule>
    <cfRule type="expression" dxfId="112" priority="93" stopIfTrue="1">
      <formula>IF(BC15="Lùi",1,0)</formula>
    </cfRule>
  </conditionalFormatting>
  <conditionalFormatting sqref="A15">
    <cfRule type="expression" dxfId="111" priority="88" stopIfTrue="1">
      <formula>IF(CV15="Hưu",1,0)</formula>
    </cfRule>
    <cfRule type="expression" dxfId="110" priority="89" stopIfTrue="1">
      <formula>IF(CV15="Quá",1,0)</formula>
    </cfRule>
    <cfRule type="expression" dxfId="109" priority="90" stopIfTrue="1">
      <formula>IF(AM15="Lùi",1,0)</formula>
    </cfRule>
  </conditionalFormatting>
  <conditionalFormatting sqref="AA31">
    <cfRule type="cellIs" dxfId="108" priority="85" stopIfTrue="1" operator="between">
      <formula>"Đến $"</formula>
      <formula>"Đến $"</formula>
    </cfRule>
    <cfRule type="cellIs" dxfId="107" priority="86" stopIfTrue="1" operator="between">
      <formula>"Dừng $"</formula>
      <formula>"Dừng $"</formula>
    </cfRule>
  </conditionalFormatting>
  <conditionalFormatting sqref="AP31">
    <cfRule type="cellIs" dxfId="106" priority="83" stopIfTrue="1" operator="between">
      <formula>"%"</formula>
      <formula>"%"</formula>
    </cfRule>
    <cfRule type="expression" dxfId="105" priority="84" stopIfTrue="1">
      <formula>IF(AO31=AQ31,1,0)</formula>
    </cfRule>
  </conditionalFormatting>
  <conditionalFormatting sqref="O31">
    <cfRule type="expression" dxfId="104" priority="82" stopIfTrue="1">
      <formula>IF(P31=0,1,0)</formula>
    </cfRule>
  </conditionalFormatting>
  <conditionalFormatting sqref="DN31">
    <cfRule type="expression" dxfId="103" priority="79" stopIfTrue="1">
      <formula>IF(FF31="Hưu",1,0)</formula>
    </cfRule>
    <cfRule type="expression" dxfId="102" priority="80" stopIfTrue="1">
      <formula>IF(FF31="Quá",1,0)</formula>
    </cfRule>
    <cfRule type="expression" dxfId="101" priority="81" stopIfTrue="1">
      <formula>IF(EN31="Lùi",1,0)</formula>
    </cfRule>
  </conditionalFormatting>
  <conditionalFormatting sqref="DU31">
    <cfRule type="expression" dxfId="100" priority="77" stopIfTrue="1">
      <formula>IF(FK31="Hưu",1,0)</formula>
    </cfRule>
    <cfRule type="expression" dxfId="99" priority="78" stopIfTrue="1">
      <formula>IF(FK31="Quá",1,0)</formula>
    </cfRule>
  </conditionalFormatting>
  <conditionalFormatting sqref="CU31">
    <cfRule type="cellIs" dxfId="98" priority="74" stopIfTrue="1" operator="between">
      <formula>"Hưu"</formula>
      <formula>"Hưu"</formula>
    </cfRule>
    <cfRule type="cellIs" dxfId="97" priority="75" stopIfTrue="1" operator="between">
      <formula>"---"</formula>
      <formula>"---"</formula>
    </cfRule>
    <cfRule type="cellIs" dxfId="96" priority="76" stopIfTrue="1" operator="between">
      <formula>"Quá"</formula>
      <formula>"Quá"</formula>
    </cfRule>
  </conditionalFormatting>
  <conditionalFormatting sqref="BE31">
    <cfRule type="expression" dxfId="95" priority="72" stopIfTrue="1">
      <formula>IF(BE31="Đến %",1,0)</formula>
    </cfRule>
    <cfRule type="expression" dxfId="94" priority="73" stopIfTrue="1">
      <formula>IF(BE31="Dừng %",1,0)</formula>
    </cfRule>
  </conditionalFormatting>
  <conditionalFormatting sqref="BW31">
    <cfRule type="cellIs" dxfId="93" priority="71" stopIfTrue="1" operator="between">
      <formula>0</formula>
      <formula>13</formula>
    </cfRule>
  </conditionalFormatting>
  <conditionalFormatting sqref="EC31">
    <cfRule type="expression" dxfId="92" priority="70" stopIfTrue="1">
      <formula>IF(EC31="Sửa",1,0)</formula>
    </cfRule>
  </conditionalFormatting>
  <conditionalFormatting sqref="N31">
    <cfRule type="cellIs" dxfId="91" priority="69" stopIfTrue="1" operator="between">
      <formula>"Ko hạn"</formula>
      <formula>"Ko hạn"</formula>
    </cfRule>
  </conditionalFormatting>
  <conditionalFormatting sqref="Q31">
    <cfRule type="expression" dxfId="90" priority="68">
      <formula>IF(P31=0,1,0)</formula>
    </cfRule>
  </conditionalFormatting>
  <conditionalFormatting sqref="E31">
    <cfRule type="expression" dxfId="89" priority="66" stopIfTrue="1">
      <formula>IF(CV31="Hưu",1,0)</formula>
    </cfRule>
    <cfRule type="expression" dxfId="88" priority="67" stopIfTrue="1">
      <formula>IF(CV31="Quá",1,0)</formula>
    </cfRule>
  </conditionalFormatting>
  <conditionalFormatting sqref="AM31">
    <cfRule type="expression" dxfId="87" priority="65" stopIfTrue="1">
      <formula>IF(AND(BB31=0,AM31&gt;0),1,0)</formula>
    </cfRule>
  </conditionalFormatting>
  <conditionalFormatting sqref="C31">
    <cfRule type="expression" dxfId="86" priority="62" stopIfTrue="1">
      <formula>IF(CX31="Hưu",1,0)</formula>
    </cfRule>
    <cfRule type="expression" dxfId="85" priority="63" stopIfTrue="1">
      <formula>IF(CX31="Quá",1,0)</formula>
    </cfRule>
    <cfRule type="expression" dxfId="84" priority="64" stopIfTrue="1">
      <formula>IF(BC31="Lùi",1,0)</formula>
    </cfRule>
  </conditionalFormatting>
  <conditionalFormatting sqref="A31">
    <cfRule type="expression" dxfId="83" priority="59" stopIfTrue="1">
      <formula>IF(CV31="Hưu",1,0)</formula>
    </cfRule>
    <cfRule type="expression" dxfId="82" priority="60" stopIfTrue="1">
      <formula>IF(CV31="Quá",1,0)</formula>
    </cfRule>
    <cfRule type="expression" dxfId="81" priority="61" stopIfTrue="1">
      <formula>IF(AM31="Lùi",1,0)</formula>
    </cfRule>
  </conditionalFormatting>
  <conditionalFormatting sqref="A32">
    <cfRule type="expression" dxfId="80" priority="30" stopIfTrue="1">
      <formula>IF(CV32="Hưu",1,0)</formula>
    </cfRule>
    <cfRule type="expression" dxfId="79" priority="31" stopIfTrue="1">
      <formula>IF(CV32="Quá",1,0)</formula>
    </cfRule>
    <cfRule type="expression" dxfId="78" priority="32" stopIfTrue="1">
      <formula>IF(AM32="Lùi",1,0)</formula>
    </cfRule>
  </conditionalFormatting>
  <conditionalFormatting sqref="AA32">
    <cfRule type="cellIs" dxfId="77" priority="56" stopIfTrue="1" operator="between">
      <formula>"Đến $"</formula>
      <formula>"Đến $"</formula>
    </cfRule>
    <cfRule type="cellIs" dxfId="76" priority="57" stopIfTrue="1" operator="between">
      <formula>"Dừng $"</formula>
      <formula>"Dừng $"</formula>
    </cfRule>
  </conditionalFormatting>
  <conditionalFormatting sqref="AP32">
    <cfRule type="cellIs" dxfId="75" priority="54" stopIfTrue="1" operator="between">
      <formula>"%"</formula>
      <formula>"%"</formula>
    </cfRule>
    <cfRule type="expression" dxfId="74" priority="55" stopIfTrue="1">
      <formula>IF(AO32=AQ32,1,0)</formula>
    </cfRule>
  </conditionalFormatting>
  <conditionalFormatting sqref="O32">
    <cfRule type="expression" dxfId="73" priority="53" stopIfTrue="1">
      <formula>IF(P32=0,1,0)</formula>
    </cfRule>
  </conditionalFormatting>
  <conditionalFormatting sqref="DN32">
    <cfRule type="expression" dxfId="72" priority="50" stopIfTrue="1">
      <formula>IF(FF32="Hưu",1,0)</formula>
    </cfRule>
    <cfRule type="expression" dxfId="71" priority="51" stopIfTrue="1">
      <formula>IF(FF32="Quá",1,0)</formula>
    </cfRule>
    <cfRule type="expression" dxfId="70" priority="52" stopIfTrue="1">
      <formula>IF(EN32="Lùi",1,0)</formula>
    </cfRule>
  </conditionalFormatting>
  <conditionalFormatting sqref="DU32">
    <cfRule type="expression" dxfId="69" priority="48" stopIfTrue="1">
      <formula>IF(FK32="Hưu",1,0)</formula>
    </cfRule>
    <cfRule type="expression" dxfId="68" priority="49" stopIfTrue="1">
      <formula>IF(FK32="Quá",1,0)</formula>
    </cfRule>
  </conditionalFormatting>
  <conditionalFormatting sqref="CU32">
    <cfRule type="cellIs" dxfId="67" priority="45" stopIfTrue="1" operator="between">
      <formula>"Hưu"</formula>
      <formula>"Hưu"</formula>
    </cfRule>
    <cfRule type="cellIs" dxfId="66" priority="46" stopIfTrue="1" operator="between">
      <formula>"---"</formula>
      <formula>"---"</formula>
    </cfRule>
    <cfRule type="cellIs" dxfId="65" priority="47" stopIfTrue="1" operator="between">
      <formula>"Quá"</formula>
      <formula>"Quá"</formula>
    </cfRule>
  </conditionalFormatting>
  <conditionalFormatting sqref="BE32">
    <cfRule type="expression" dxfId="64" priority="43" stopIfTrue="1">
      <formula>IF(BE32="Đến %",1,0)</formula>
    </cfRule>
    <cfRule type="expression" dxfId="63" priority="44" stopIfTrue="1">
      <formula>IF(BE32="Dừng %",1,0)</formula>
    </cfRule>
  </conditionalFormatting>
  <conditionalFormatting sqref="BW32">
    <cfRule type="cellIs" dxfId="62" priority="42" stopIfTrue="1" operator="between">
      <formula>0</formula>
      <formula>13</formula>
    </cfRule>
  </conditionalFormatting>
  <conditionalFormatting sqref="EC32">
    <cfRule type="expression" dxfId="61" priority="41" stopIfTrue="1">
      <formula>IF(EC32="Sửa",1,0)</formula>
    </cfRule>
  </conditionalFormatting>
  <conditionalFormatting sqref="N32">
    <cfRule type="cellIs" dxfId="60" priority="40" stopIfTrue="1" operator="between">
      <formula>"Ko hạn"</formula>
      <formula>"Ko hạn"</formula>
    </cfRule>
  </conditionalFormatting>
  <conditionalFormatting sqref="Q32">
    <cfRule type="expression" dxfId="59" priority="39">
      <formula>IF(P32=0,1,0)</formula>
    </cfRule>
  </conditionalFormatting>
  <conditionalFormatting sqref="E32">
    <cfRule type="expression" dxfId="58" priority="37" stopIfTrue="1">
      <formula>IF(CV32="Hưu",1,0)</formula>
    </cfRule>
    <cfRule type="expression" dxfId="57" priority="38" stopIfTrue="1">
      <formula>IF(CV32="Quá",1,0)</formula>
    </cfRule>
  </conditionalFormatting>
  <conditionalFormatting sqref="AM32">
    <cfRule type="expression" dxfId="56" priority="36" stopIfTrue="1">
      <formula>IF(AND(BB32=0,AM32&gt;0),1,0)</formula>
    </cfRule>
  </conditionalFormatting>
  <conditionalFormatting sqref="C32">
    <cfRule type="expression" dxfId="55" priority="33" stopIfTrue="1">
      <formula>IF(CX32="Hưu",1,0)</formula>
    </cfRule>
    <cfRule type="expression" dxfId="54" priority="34" stopIfTrue="1">
      <formula>IF(CX32="Quá",1,0)</formula>
    </cfRule>
    <cfRule type="expression" dxfId="53" priority="35" stopIfTrue="1">
      <formula>IF(BC32="Lùi",1,0)</formula>
    </cfRule>
  </conditionalFormatting>
  <conditionalFormatting sqref="AJ26 AV26">
    <cfRule type="expression" dxfId="52" priority="29" stopIfTrue="1">
      <formula>IF(AND(AP26=0,OR($AA$4-AJ26&gt;0,O$4-AJ26&lt;0)),1,0)</formula>
    </cfRule>
  </conditionalFormatting>
  <conditionalFormatting sqref="AA26">
    <cfRule type="cellIs" dxfId="51" priority="27" stopIfTrue="1" operator="between">
      <formula>"Đến $"</formula>
      <formula>"Đến $"</formula>
    </cfRule>
    <cfRule type="cellIs" dxfId="50" priority="28" stopIfTrue="1" operator="between">
      <formula>"Dừng $"</formula>
      <formula>"Dừng $"</formula>
    </cfRule>
  </conditionalFormatting>
  <conditionalFormatting sqref="AP26">
    <cfRule type="cellIs" dxfId="49" priority="25" stopIfTrue="1" operator="between">
      <formula>"%"</formula>
      <formula>"%"</formula>
    </cfRule>
    <cfRule type="expression" dxfId="48" priority="26" stopIfTrue="1">
      <formula>IF(AO26=AQ26,1,0)</formula>
    </cfRule>
  </conditionalFormatting>
  <conditionalFormatting sqref="O26">
    <cfRule type="expression" dxfId="47" priority="24" stopIfTrue="1">
      <formula>IF(P26=0,1,0)</formula>
    </cfRule>
  </conditionalFormatting>
  <conditionalFormatting sqref="DN26">
    <cfRule type="expression" dxfId="46" priority="21" stopIfTrue="1">
      <formula>IF(FF26="Hưu",1,0)</formula>
    </cfRule>
    <cfRule type="expression" dxfId="45" priority="22" stopIfTrue="1">
      <formula>IF(FF26="Quá",1,0)</formula>
    </cfRule>
    <cfRule type="expression" dxfId="44" priority="23" stopIfTrue="1">
      <formula>IF(EN26="Lùi",1,0)</formula>
    </cfRule>
  </conditionalFormatting>
  <conditionalFormatting sqref="DU26">
    <cfRule type="expression" dxfId="43" priority="19" stopIfTrue="1">
      <formula>IF(FK26="Hưu",1,0)</formula>
    </cfRule>
    <cfRule type="expression" dxfId="42" priority="20" stopIfTrue="1">
      <formula>IF(FK26="Quá",1,0)</formula>
    </cfRule>
  </conditionalFormatting>
  <conditionalFormatting sqref="CU26">
    <cfRule type="cellIs" dxfId="41" priority="16" stopIfTrue="1" operator="between">
      <formula>"Hưu"</formula>
      <formula>"Hưu"</formula>
    </cfRule>
    <cfRule type="cellIs" dxfId="40" priority="17" stopIfTrue="1" operator="between">
      <formula>"---"</formula>
      <formula>"---"</formula>
    </cfRule>
    <cfRule type="cellIs" dxfId="39" priority="18" stopIfTrue="1" operator="between">
      <formula>"Quá"</formula>
      <formula>"Quá"</formula>
    </cfRule>
  </conditionalFormatting>
  <conditionalFormatting sqref="BE26">
    <cfRule type="expression" dxfId="38" priority="14" stopIfTrue="1">
      <formula>IF(BE26="Đến %",1,0)</formula>
    </cfRule>
    <cfRule type="expression" dxfId="37" priority="15" stopIfTrue="1">
      <formula>IF(BE26="Dừng %",1,0)</formula>
    </cfRule>
  </conditionalFormatting>
  <conditionalFormatting sqref="BW26">
    <cfRule type="cellIs" dxfId="36" priority="13" stopIfTrue="1" operator="between">
      <formula>0</formula>
      <formula>13</formula>
    </cfRule>
  </conditionalFormatting>
  <conditionalFormatting sqref="EC26">
    <cfRule type="expression" dxfId="35" priority="12" stopIfTrue="1">
      <formula>IF(EC26="Sửa",1,0)</formula>
    </cfRule>
  </conditionalFormatting>
  <conditionalFormatting sqref="N26">
    <cfRule type="cellIs" dxfId="34" priority="11" stopIfTrue="1" operator="between">
      <formula>"Ko hạn"</formula>
      <formula>"Ko hạn"</formula>
    </cfRule>
  </conditionalFormatting>
  <conditionalFormatting sqref="Q26">
    <cfRule type="expression" dxfId="33" priority="10">
      <formula>IF(P26=0,1,0)</formula>
    </cfRule>
  </conditionalFormatting>
  <conditionalFormatting sqref="E26">
    <cfRule type="expression" dxfId="32" priority="8" stopIfTrue="1">
      <formula>IF(CV26="Hưu",1,0)</formula>
    </cfRule>
    <cfRule type="expression" dxfId="31" priority="9" stopIfTrue="1">
      <formula>IF(CV26="Quá",1,0)</formula>
    </cfRule>
  </conditionalFormatting>
  <conditionalFormatting sqref="AM26">
    <cfRule type="expression" dxfId="30" priority="7" stopIfTrue="1">
      <formula>IF(AND(BB26=0,AM26&gt;0),1,0)</formula>
    </cfRule>
  </conditionalFormatting>
  <conditionalFormatting sqref="C26">
    <cfRule type="expression" dxfId="29" priority="4" stopIfTrue="1">
      <formula>IF(CX26="Hưu",1,0)</formula>
    </cfRule>
    <cfRule type="expression" dxfId="28" priority="5" stopIfTrue="1">
      <formula>IF(CX26="Quá",1,0)</formula>
    </cfRule>
    <cfRule type="expression" dxfId="27" priority="6" stopIfTrue="1">
      <formula>IF(BC26="Lùi",1,0)</formula>
    </cfRule>
  </conditionalFormatting>
  <conditionalFormatting sqref="A26">
    <cfRule type="expression" dxfId="26" priority="1" stopIfTrue="1">
      <formula>IF(CV26="Hưu",1,0)</formula>
    </cfRule>
    <cfRule type="expression" dxfId="25" priority="2" stopIfTrue="1">
      <formula>IF(CV26="Quá",1,0)</formula>
    </cfRule>
    <cfRule type="expression" dxfId="24" priority="3" stopIfTrue="1">
      <formula>IF(AM26="Lùi",1,0)</formula>
    </cfRule>
  </conditionalFormatting>
  <pageMargins left="0.51181102362204722" right="0.31496062992125984" top="3.937007874015748E-2" bottom="0.19685039370078741" header="0" footer="0.19685039370078741"/>
  <pageSetup paperSize="9" orientation="landscape" r:id="rId1"/>
  <headerFooter alignWithMargins="0">
    <oddHeader>&amp;R&amp;"Arial,Bold"&amp;14&amp;UBIỂU 2 -TB</oddHeader>
    <oddFooter>&amp;R&amp;P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54640" stopIfTrue="1" id="{72B5482A-B796-4E0A-BDCD-058226E4EB77}">
            <xm:f>IF(#REF!=0,1,0)</xm:f>
            <x14:dxf>
              <font>
                <condense val="0"/>
                <extend val="0"/>
                <color indexed="9"/>
              </font>
            </x14:dxf>
          </x14:cfRule>
          <xm:sqref>DW50</xm:sqref>
        </x14:conditionalFormatting>
        <x14:conditionalFormatting xmlns:xm="http://schemas.microsoft.com/office/excel/2006/main">
          <x14:cfRule type="expression" priority="1354643" stopIfTrue="1" id="{63D10915-6FD7-42FF-951B-5545EBCF7751}">
            <xm:f>IF(#REF!="Hưu",1,0)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6"/>
                </patternFill>
              </fill>
            </x14:dxf>
          </x14:cfRule>
          <x14:cfRule type="expression" priority="1354644" stopIfTrue="1" id="{8844EB15-8AC8-4C5F-92AF-70752AD51205}">
            <xm:f>IF(#REF!="Quá",1,0)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23"/>
                </patternFill>
              </fill>
            </x14:dxf>
          </x14:cfRule>
          <xm:sqref>E50 L50:S50</xm:sqref>
        </x14:conditionalFormatting>
        <x14:conditionalFormatting xmlns:xm="http://schemas.microsoft.com/office/excel/2006/main">
          <x14:cfRule type="expression" priority="1354667" stopIfTrue="1" id="{230C69A2-28C2-42D3-A9C9-8F6313ACB480}">
            <xm:f>IF(#REF!="Hưu",1,0)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6"/>
                </patternFill>
              </fill>
            </x14:dxf>
          </x14:cfRule>
          <x14:cfRule type="expression" priority="1354668" stopIfTrue="1" id="{4EFBDF7A-FE85-4150-A470-3B2000607AA8}">
            <xm:f>IF(#REF!="Quá",1,0)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23"/>
                </patternFill>
              </fill>
            </x14:dxf>
          </x14:cfRule>
          <x14:cfRule type="expression" priority="1354669" stopIfTrue="1" id="{26DF4B40-A71E-4048-B1B0-F5F478709776}">
            <xm:f>IF(#REF!="Lùi",1,0)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10"/>
                </patternFill>
              </fill>
            </x14:dxf>
          </x14:cfRule>
          <xm:sqref>DO50</xm:sqref>
        </x14:conditionalFormatting>
        <x14:conditionalFormatting xmlns:xm="http://schemas.microsoft.com/office/excel/2006/main">
          <x14:cfRule type="expression" priority="1354681" stopIfTrue="1" id="{D5D21E11-A13F-4B1D-9AF6-67EABD0D0A87}">
            <xm:f>IF(AND(#REF!&gt;#REF!,#REF!&gt;0),1,0)</xm:f>
            <x14:dxf>
              <font>
                <b/>
                <i val="0"/>
                <condense val="0"/>
                <extend val="0"/>
              </font>
              <fill>
                <patternFill>
                  <bgColor indexed="9"/>
                </patternFill>
              </fill>
            </x14:dxf>
          </x14:cfRule>
          <x14:cfRule type="expression" priority="1354682" stopIfTrue="1" id="{6905E59E-9DDC-4EBC-806F-EAC781C2D539}">
            <xm:f>IF(#REF!&lt;#REF!,1,0)</xm:f>
            <x14:dxf>
              <font>
                <b/>
                <i val="0"/>
                <condense val="0"/>
                <extend val="0"/>
                <color indexed="13"/>
              </font>
              <fill>
                <patternFill>
                  <bgColor indexed="10"/>
                </patternFill>
              </fill>
            </x14:dxf>
          </x14:cfRule>
          <xm:sqref>AB50</xm:sqref>
        </x14:conditionalFormatting>
        <x14:conditionalFormatting xmlns:xm="http://schemas.microsoft.com/office/excel/2006/main">
          <x14:cfRule type="expression" priority="1354687" stopIfTrue="1" id="{BCC299A9-2B4C-4783-8982-7470B49411FA}">
            <xm:f>IF(#REF!="Đến %",1,0)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7"/>
                </patternFill>
              </fill>
            </x14:dxf>
          </x14:cfRule>
          <x14:cfRule type="expression" priority="1354688" stopIfTrue="1" id="{C0DE3D9A-8080-41B0-A954-D4378F977F3F}">
            <xm:f>IF(#REF!="Dừng %",1,0)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9"/>
                </patternFill>
              </fill>
            </x14:dxf>
          </x14:cfRule>
          <xm:sqref>BF50</xm:sqref>
        </x14:conditionalFormatting>
        <x14:conditionalFormatting xmlns:xm="http://schemas.microsoft.com/office/excel/2006/main">
          <x14:cfRule type="expression" priority="1354691" stopIfTrue="1" id="{A83F6668-FD75-471C-AC90-A92CEBD71108}">
            <xm:f>IF(AND(#REF!=0,#REF!&gt;0),1,0)</xm:f>
            <x14:dxf>
              <font>
                <b/>
                <i val="0"/>
                <color rgb="FFFFFF00"/>
              </font>
              <fill>
                <patternFill>
                  <bgColor rgb="FFFF0000"/>
                </patternFill>
              </fill>
            </x14:dxf>
          </x14:cfRule>
          <xm:sqref>AM50</xm:sqref>
        </x14:conditionalFormatting>
        <x14:conditionalFormatting xmlns:xm="http://schemas.microsoft.com/office/excel/2006/main">
          <x14:cfRule type="expression" priority="1354693" stopIfTrue="1" id="{B7D17D1A-940E-4EF6-828C-2A5A600DC5E3}">
            <xm:f>IF(#REF!="Sửa",1,0)</xm:f>
            <x14:dxf>
              <font>
                <b/>
                <i val="0"/>
                <color rgb="FFFF0000"/>
              </font>
              <fill>
                <patternFill>
                  <bgColor rgb="FF00B0F0"/>
                </patternFill>
              </fill>
            </x14:dxf>
          </x14:cfRule>
          <xm:sqref>EF50</xm:sqref>
        </x14:conditionalFormatting>
        <x14:conditionalFormatting xmlns:xm="http://schemas.microsoft.com/office/excel/2006/main">
          <x14:cfRule type="expression" priority="1354695" stopIfTrue="1" id="{4CE5A410-BE43-4015-9DAB-3B7B0523B2CF}">
            <xm:f>IF(AND(#REF!=0,OR(#REF!-#REF!&gt;#REF!,#REF!-#REF!&lt;#REF!)),1,0)</xm:f>
            <x14:dxf>
              <font>
                <b/>
                <i val="0"/>
                <color rgb="FFFFFF00"/>
              </font>
              <fill>
                <patternFill>
                  <bgColor rgb="FFFF0000"/>
                </patternFill>
              </fill>
            </x14:dxf>
          </x14:cfRule>
          <xm:sqref>BT50</xm:sqref>
        </x14:conditionalFormatting>
        <x14:conditionalFormatting xmlns:xm="http://schemas.microsoft.com/office/excel/2006/main">
          <x14:cfRule type="expression" priority="1354697" stopIfTrue="1" id="{4AF8642C-4261-4F5B-A837-3B071231E4F9}">
            <xm:f>IF(AND(#REF!=0,#REF!&gt;0),1,0)</xm:f>
            <x14:dxf>
              <font>
                <b/>
                <i val="0"/>
                <color rgb="FFFFFF00"/>
              </font>
              <fill>
                <patternFill>
                  <bgColor rgb="FFFF0000"/>
                </patternFill>
              </fill>
            </x14:dxf>
          </x14:cfRule>
          <xm:sqref>BN50</xm:sqref>
        </x14:conditionalFormatting>
        <x14:conditionalFormatting xmlns:xm="http://schemas.microsoft.com/office/excel/2006/main">
          <x14:cfRule type="expression" priority="1354703" stopIfTrue="1" id="{0E379453-41FD-4A70-8EAE-880FC136625B}">
            <xm:f>IF(AND(#REF!=0,OR(#REF!-#REF!&gt;#REF!,#REF!-#REF!&lt;#REF!)),1,0)</xm:f>
            <x14:dxf>
              <font>
                <b/>
                <i val="0"/>
                <color rgb="FFFFFF00"/>
              </font>
              <fill>
                <patternFill>
                  <bgColor rgb="FFFF0000"/>
                </patternFill>
              </fill>
            </x14:dxf>
          </x14:cfRule>
          <xm:sqref>BJ50:BK50</xm:sqref>
        </x14:conditionalFormatting>
        <x14:conditionalFormatting xmlns:xm="http://schemas.microsoft.com/office/excel/2006/main">
          <x14:cfRule type="expression" priority="1354706" stopIfTrue="1" id="{E008CFA9-7387-4CB0-A04C-DD291FEF41F6}">
            <xm:f>IF(AND(#REF!=0,OR(#REF!-#REF!&gt;0,#REF!-#REF!&lt;0)),1,0)</xm:f>
            <x14:dxf>
              <font>
                <b/>
                <i val="0"/>
                <color rgb="FFFFFF00"/>
              </font>
              <fill>
                <patternFill>
                  <bgColor rgb="FFFF0000"/>
                </patternFill>
              </fill>
            </x14:dxf>
          </x14:cfRule>
          <xm:sqref>AJ50 AV50</xm:sqref>
        </x14:conditionalFormatting>
        <x14:conditionalFormatting xmlns:xm="http://schemas.microsoft.com/office/excel/2006/main">
          <x14:cfRule type="expression" priority="1354710" stopIfTrue="1" id="{2D288A47-D60F-4EB3-B01B-205532BB56C1}">
            <xm:f>IF(AND(#REF!=0,OR(#REF!-#REF!&gt;#REF!,#REF!-#REF!&lt;#REF!)),1,0)</xm:f>
            <x14:dxf>
              <font>
                <b/>
                <i val="0"/>
                <color rgb="FFFFFF00"/>
              </font>
              <fill>
                <patternFill>
                  <bgColor rgb="FFFF0000"/>
                </patternFill>
              </fill>
            </x14:dxf>
          </x14:cfRule>
          <xm:sqref>BR50</xm:sqref>
        </x14:conditionalFormatting>
        <x14:conditionalFormatting xmlns:xm="http://schemas.microsoft.com/office/excel/2006/main">
          <x14:cfRule type="expression" priority="1354712" stopIfTrue="1" id="{0A8581C5-55E5-41FA-B993-D8C13E527C5C}">
            <xm:f>IF(#REF!="Hưu",1,0)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6"/>
                </patternFill>
              </fill>
            </x14:dxf>
          </x14:cfRule>
          <x14:cfRule type="expression" priority="1354713" stopIfTrue="1" id="{EE0874BC-3F87-42B2-A57F-707659DA171C}">
            <xm:f>IF(#REF!="Quá",1,0)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23"/>
                </patternFill>
              </fill>
            </x14:dxf>
          </x14:cfRule>
          <x14:cfRule type="expression" priority="1354714" stopIfTrue="1" id="{7DA8CE1C-2C61-4EF9-9B01-E9C687F89D37}">
            <xm:f>IF(#REF!="Lùi",1,0)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10"/>
                </patternFill>
              </fill>
            </x14:dxf>
          </x14:cfRule>
          <xm:sqref>C50</xm:sqref>
        </x14:conditionalFormatting>
        <x14:conditionalFormatting xmlns:xm="http://schemas.microsoft.com/office/excel/2006/main">
          <x14:cfRule type="expression" priority="1354718" stopIfTrue="1" id="{DC2159F0-2DFD-403E-B2D5-F145DE12CAE5}">
            <xm:f>IF(#REF!="Hưu",1,0)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6"/>
                </patternFill>
              </fill>
            </x14:dxf>
          </x14:cfRule>
          <x14:cfRule type="expression" priority="1354719" stopIfTrue="1" id="{53AB8ECA-1ED5-44FF-AF09-E12E9F970122}">
            <xm:f>IF(#REF!="Quá",1,0)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23"/>
                </patternFill>
              </fill>
            </x14:dxf>
          </x14:cfRule>
          <x14:cfRule type="expression" priority="1354720" stopIfTrue="1" id="{658DA57E-FB68-4E20-9492-8877BE4813E6}">
            <xm:f>IF(#REF!="Lùi",1,0)</xm:f>
            <x14:dxf>
              <font>
                <b/>
                <i val="0"/>
                <condense val="0"/>
                <extend val="0"/>
                <color indexed="34"/>
              </font>
              <fill>
                <patternFill>
                  <bgColor indexed="10"/>
                </patternFill>
              </fill>
            </x14:dxf>
          </x14:cfRule>
          <xm:sqref>A50</xm:sqref>
        </x14:conditionalFormatting>
        <x14:conditionalFormatting xmlns:xm="http://schemas.microsoft.com/office/excel/2006/main">
          <x14:cfRule type="expression" priority="1354726" stopIfTrue="1" id="{2CCBE409-9A22-4EAD-B2FB-0871A7415CA1}">
            <xm:f>IF(#REF!=#REF!,1,0)</xm:f>
            <x14:dxf>
              <font>
                <b/>
                <i val="0"/>
                <condense val="0"/>
                <extend val="0"/>
                <color indexed="9"/>
              </font>
              <fill>
                <patternFill>
                  <bgColor indexed="12"/>
                </patternFill>
              </fill>
            </x14:dxf>
          </x14:cfRule>
          <xm:sqref>AG50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0"/>
  <sheetViews>
    <sheetView topLeftCell="A31" zoomScale="90" zoomScaleNormal="90" workbookViewId="0">
      <selection activeCell="M47" sqref="M47"/>
    </sheetView>
  </sheetViews>
  <sheetFormatPr defaultColWidth="10.5703125" defaultRowHeight="15" x14ac:dyDescent="0.2"/>
  <cols>
    <col min="1" max="1" width="4.42578125" style="5" customWidth="1"/>
    <col min="2" max="2" width="4.42578125" style="369" customWidth="1"/>
    <col min="3" max="3" width="27.42578125" style="5" customWidth="1"/>
    <col min="4" max="4" width="10" style="22" customWidth="1"/>
    <col min="5" max="6" width="10.28515625" style="26" customWidth="1"/>
    <col min="7" max="7" width="10.28515625" style="13" customWidth="1"/>
    <col min="8" max="8" width="10" style="5" customWidth="1"/>
    <col min="9" max="9" width="4.42578125" style="5" customWidth="1"/>
    <col min="10" max="10" width="4.28515625" style="5" customWidth="1"/>
    <col min="11" max="11" width="4.140625" style="5" customWidth="1"/>
    <col min="12" max="12" width="10.5703125" style="462" customWidth="1"/>
    <col min="13" max="13" width="27.42578125" style="5" customWidth="1"/>
    <col min="14" max="16384" width="10.5703125" style="5"/>
  </cols>
  <sheetData>
    <row r="1" spans="1:13" s="8" customFormat="1" ht="19.5" customHeight="1" x14ac:dyDescent="0.2">
      <c r="A1" s="7"/>
      <c r="B1" s="330"/>
      <c r="C1" s="15" t="s">
        <v>133</v>
      </c>
      <c r="D1" s="20" t="s">
        <v>232</v>
      </c>
      <c r="E1" s="23" t="s">
        <v>264</v>
      </c>
      <c r="F1" s="23" t="s">
        <v>233</v>
      </c>
      <c r="G1" s="15" t="s">
        <v>234</v>
      </c>
      <c r="H1" s="15" t="s">
        <v>235</v>
      </c>
      <c r="I1" s="7"/>
      <c r="J1" s="7"/>
      <c r="K1" s="7"/>
      <c r="L1" s="460">
        <v>1</v>
      </c>
      <c r="M1" s="8">
        <v>1</v>
      </c>
    </row>
    <row r="2" spans="1:13" s="3" customFormat="1" ht="20.25" customHeight="1" x14ac:dyDescent="0.2">
      <c r="A2" s="1"/>
      <c r="B2" s="331">
        <f>COUNTA($D$2:D2)</f>
        <v>1</v>
      </c>
      <c r="C2" s="332" t="s">
        <v>429</v>
      </c>
      <c r="D2" s="333" t="s">
        <v>427</v>
      </c>
      <c r="E2" s="334">
        <v>6.2</v>
      </c>
      <c r="F2" s="335">
        <v>0.36</v>
      </c>
      <c r="G2" s="336" t="str">
        <f>IF(F2=0.36,"A3",IF(F2=0.34,"A2",IF(F2=0.33,"A1",IF(F2=0.31,"A0",IF(F2=0.2,"B",IF(F2=0.18,"C"))))))</f>
        <v>A3</v>
      </c>
      <c r="H2" s="336" t="str">
        <f>IF(AND(G2="A3",E2=6.2),"A3.1",IF(AND(G2="A3",E2=5.75),"A3.2",IF(AND(G2="A2",E2=4.4),"A2.1",IF(AND(G2="A2",E2=4),"A2.2",IF(G2="C","Nhân viên","- - -")))))</f>
        <v>A3.1</v>
      </c>
      <c r="I2" s="1"/>
      <c r="J2" s="2"/>
      <c r="K2" s="1"/>
      <c r="L2" s="461">
        <v>2</v>
      </c>
    </row>
    <row r="3" spans="1:13" s="3" customFormat="1" ht="20.25" customHeight="1" x14ac:dyDescent="0.25">
      <c r="A3" s="1"/>
      <c r="B3" s="331">
        <f>COUNTA($D$2:D3)</f>
        <v>2</v>
      </c>
      <c r="C3" s="9" t="s">
        <v>431</v>
      </c>
      <c r="D3" s="165" t="s">
        <v>428</v>
      </c>
      <c r="E3" s="10">
        <v>4.4000000000000004</v>
      </c>
      <c r="F3" s="11">
        <v>0.34</v>
      </c>
      <c r="G3" s="6" t="str">
        <f t="shared" ref="G3:G60" si="0">IF(F3=0.36,"A3",IF(F3=0.34,"A2",IF(F3=0.33,"A1",IF(F3=0.31,"A0",IF(F3=0.2,"B",IF(F3=0.18,"C"))))))</f>
        <v>A2</v>
      </c>
      <c r="H3" s="6" t="str">
        <f t="shared" ref="H3:H60" si="1">IF(AND(G3="A3",E3=6.2),"A3.1",IF(AND(G3="A3",E3=5.75),"A3.2",IF(AND(G3="A2",E3=4.4),"A2.1",IF(AND(G3="A2",E3=4),"A2.2",IF(G3="C","Nhân viên","- - -")))))</f>
        <v>A2.1</v>
      </c>
      <c r="I3" s="1"/>
      <c r="J3" s="4" t="s">
        <v>212</v>
      </c>
      <c r="K3" s="1"/>
      <c r="L3" s="460">
        <v>3</v>
      </c>
    </row>
    <row r="4" spans="1:13" s="3" customFormat="1" ht="20.25" customHeight="1" x14ac:dyDescent="0.25">
      <c r="A4" s="1"/>
      <c r="B4" s="331">
        <f>COUNTA($D$2:D4)</f>
        <v>3</v>
      </c>
      <c r="C4" s="9" t="s">
        <v>430</v>
      </c>
      <c r="D4" s="165" t="s">
        <v>426</v>
      </c>
      <c r="E4" s="10">
        <v>2.34</v>
      </c>
      <c r="F4" s="11">
        <v>0.33</v>
      </c>
      <c r="G4" s="6" t="str">
        <f t="shared" si="0"/>
        <v>A1</v>
      </c>
      <c r="H4" s="6" t="str">
        <f t="shared" si="1"/>
        <v>- - -</v>
      </c>
      <c r="I4" s="1"/>
      <c r="J4" s="4" t="s">
        <v>159</v>
      </c>
      <c r="K4" s="1"/>
      <c r="L4" s="461">
        <v>4</v>
      </c>
    </row>
    <row r="5" spans="1:13" s="3" customFormat="1" ht="20.25" customHeight="1" x14ac:dyDescent="0.25">
      <c r="A5" s="1"/>
      <c r="B5" s="331">
        <f>COUNTA($D$2:D5)</f>
        <v>4</v>
      </c>
      <c r="C5" s="267" t="s">
        <v>353</v>
      </c>
      <c r="D5" s="268" t="s">
        <v>155</v>
      </c>
      <c r="E5" s="269">
        <v>4.4000000000000004</v>
      </c>
      <c r="F5" s="270">
        <v>0.34</v>
      </c>
      <c r="G5" s="271" t="str">
        <f t="shared" si="0"/>
        <v>A2</v>
      </c>
      <c r="H5" s="271" t="str">
        <f t="shared" si="1"/>
        <v>A2.1</v>
      </c>
      <c r="I5" s="1"/>
      <c r="J5" s="4" t="s">
        <v>212</v>
      </c>
      <c r="K5" s="1"/>
      <c r="L5" s="460">
        <v>5</v>
      </c>
    </row>
    <row r="6" spans="1:13" s="3" customFormat="1" ht="20.25" customHeight="1" x14ac:dyDescent="0.25">
      <c r="A6" s="1"/>
      <c r="B6" s="331">
        <f>COUNTA($D$2:D6)</f>
        <v>5</v>
      </c>
      <c r="C6" s="267" t="s">
        <v>467</v>
      </c>
      <c r="D6" s="268" t="s">
        <v>156</v>
      </c>
      <c r="E6" s="269">
        <v>2.34</v>
      </c>
      <c r="F6" s="270">
        <v>0.33</v>
      </c>
      <c r="G6" s="271" t="str">
        <f t="shared" si="0"/>
        <v>A1</v>
      </c>
      <c r="H6" s="271" t="str">
        <f t="shared" si="1"/>
        <v>- - -</v>
      </c>
      <c r="I6" s="1"/>
      <c r="J6" s="4" t="s">
        <v>159</v>
      </c>
      <c r="K6" s="1"/>
      <c r="L6" s="461">
        <v>6</v>
      </c>
    </row>
    <row r="7" spans="1:13" s="3" customFormat="1" ht="20.25" customHeight="1" x14ac:dyDescent="0.25">
      <c r="A7" s="1"/>
      <c r="B7" s="331">
        <f>COUNTA($D$2:D7)</f>
        <v>6</v>
      </c>
      <c r="C7" s="9" t="s">
        <v>157</v>
      </c>
      <c r="D7" s="165" t="s">
        <v>158</v>
      </c>
      <c r="E7" s="10">
        <v>4</v>
      </c>
      <c r="F7" s="11">
        <v>0.34</v>
      </c>
      <c r="G7" s="6" t="str">
        <f t="shared" si="0"/>
        <v>A2</v>
      </c>
      <c r="H7" s="6" t="str">
        <f t="shared" si="1"/>
        <v>A2.2</v>
      </c>
      <c r="I7" s="1"/>
      <c r="J7" s="4" t="s">
        <v>362</v>
      </c>
      <c r="K7" s="1"/>
      <c r="L7" s="460">
        <v>7</v>
      </c>
    </row>
    <row r="8" spans="1:13" s="3" customFormat="1" ht="20.25" customHeight="1" x14ac:dyDescent="0.25">
      <c r="A8" s="1"/>
      <c r="B8" s="331">
        <f>COUNTA($D$2:D8)</f>
        <v>7</v>
      </c>
      <c r="C8" s="9" t="s">
        <v>313</v>
      </c>
      <c r="D8" s="165" t="s">
        <v>160</v>
      </c>
      <c r="E8" s="10">
        <v>2.34</v>
      </c>
      <c r="F8" s="11">
        <v>0.33</v>
      </c>
      <c r="G8" s="6" t="str">
        <f t="shared" si="0"/>
        <v>A1</v>
      </c>
      <c r="H8" s="6" t="str">
        <f t="shared" si="1"/>
        <v>- - -</v>
      </c>
      <c r="I8" s="1"/>
      <c r="J8" s="4" t="s">
        <v>163</v>
      </c>
      <c r="K8" s="1"/>
      <c r="L8" s="461">
        <v>8</v>
      </c>
    </row>
    <row r="9" spans="1:13" s="3" customFormat="1" ht="20.25" customHeight="1" x14ac:dyDescent="0.25">
      <c r="A9" s="1"/>
      <c r="B9" s="331">
        <f>COUNTA($D$2:D9)</f>
        <v>8</v>
      </c>
      <c r="C9" s="9" t="s">
        <v>40</v>
      </c>
      <c r="D9" s="165" t="s">
        <v>161</v>
      </c>
      <c r="E9" s="10">
        <v>2.34</v>
      </c>
      <c r="F9" s="11">
        <v>0.33</v>
      </c>
      <c r="G9" s="6" t="str">
        <f t="shared" si="0"/>
        <v>A1</v>
      </c>
      <c r="H9" s="6" t="str">
        <f t="shared" si="1"/>
        <v>- - -</v>
      </c>
      <c r="I9" s="1"/>
      <c r="J9" s="4" t="s">
        <v>164</v>
      </c>
      <c r="K9" s="1"/>
      <c r="L9" s="460">
        <v>9</v>
      </c>
    </row>
    <row r="10" spans="1:13" s="3" customFormat="1" ht="20.25" customHeight="1" x14ac:dyDescent="0.25">
      <c r="A10" s="1"/>
      <c r="B10" s="331">
        <f>COUNTA($D$2:D10)</f>
        <v>9</v>
      </c>
      <c r="C10" s="9" t="s">
        <v>47</v>
      </c>
      <c r="D10" s="165" t="s">
        <v>162</v>
      </c>
      <c r="E10" s="10">
        <v>2.1</v>
      </c>
      <c r="F10" s="11">
        <v>0.31</v>
      </c>
      <c r="G10" s="6" t="str">
        <f t="shared" si="0"/>
        <v>A0</v>
      </c>
      <c r="H10" s="6" t="str">
        <f t="shared" si="1"/>
        <v>- - -</v>
      </c>
      <c r="I10" s="1"/>
      <c r="J10" s="4" t="s">
        <v>165</v>
      </c>
      <c r="K10" s="1"/>
      <c r="L10" s="461">
        <v>10</v>
      </c>
      <c r="M10" s="3">
        <f>6.2+0.36+0.36</f>
        <v>6.9200000000000008</v>
      </c>
    </row>
    <row r="11" spans="1:13" s="3" customFormat="1" ht="20.25" customHeight="1" x14ac:dyDescent="0.25">
      <c r="A11" s="1"/>
      <c r="B11" s="331">
        <f>COUNTA($D$2:D11)</f>
        <v>10</v>
      </c>
      <c r="C11" s="248" t="s">
        <v>437</v>
      </c>
      <c r="D11" s="165" t="s">
        <v>438</v>
      </c>
      <c r="E11" s="10">
        <v>6.2</v>
      </c>
      <c r="F11" s="11">
        <v>0.36</v>
      </c>
      <c r="G11" s="6" t="str">
        <f t="shared" si="0"/>
        <v>A3</v>
      </c>
      <c r="H11" s="6" t="str">
        <f t="shared" si="1"/>
        <v>A3.1</v>
      </c>
      <c r="I11" s="1"/>
      <c r="J11" s="4" t="s">
        <v>166</v>
      </c>
      <c r="K11" s="1"/>
      <c r="L11" s="460">
        <v>11</v>
      </c>
      <c r="M11" s="337">
        <f>ROUND(L11,1)</f>
        <v>11</v>
      </c>
    </row>
    <row r="12" spans="1:13" s="3" customFormat="1" ht="20.25" customHeight="1" x14ac:dyDescent="0.25">
      <c r="A12" s="1"/>
      <c r="B12" s="331">
        <f>COUNTA($D$2:D12)</f>
        <v>11</v>
      </c>
      <c r="C12" s="248" t="s">
        <v>439</v>
      </c>
      <c r="D12" s="165" t="s">
        <v>440</v>
      </c>
      <c r="E12" s="10">
        <v>4.4000000000000004</v>
      </c>
      <c r="F12" s="11">
        <v>0.34</v>
      </c>
      <c r="G12" s="6" t="str">
        <f t="shared" si="0"/>
        <v>A2</v>
      </c>
      <c r="H12" s="6" t="str">
        <f t="shared" si="1"/>
        <v>A2.1</v>
      </c>
      <c r="I12" s="1"/>
      <c r="J12" s="4" t="s">
        <v>210</v>
      </c>
      <c r="K12" s="1"/>
      <c r="L12" s="461">
        <v>12</v>
      </c>
    </row>
    <row r="13" spans="1:13" s="3" customFormat="1" ht="20.25" customHeight="1" x14ac:dyDescent="0.25">
      <c r="A13" s="1"/>
      <c r="B13" s="331">
        <f>COUNTA($D$2:D13)</f>
        <v>12</v>
      </c>
      <c r="C13" s="248" t="s">
        <v>441</v>
      </c>
      <c r="D13" s="165" t="s">
        <v>442</v>
      </c>
      <c r="E13" s="10">
        <v>2.34</v>
      </c>
      <c r="F13" s="11">
        <v>0.33</v>
      </c>
      <c r="G13" s="6" t="str">
        <f t="shared" si="0"/>
        <v>A1</v>
      </c>
      <c r="H13" s="6" t="str">
        <f t="shared" si="1"/>
        <v>- - -</v>
      </c>
      <c r="I13" s="1"/>
      <c r="J13" s="4" t="s">
        <v>163</v>
      </c>
      <c r="K13" s="1"/>
      <c r="L13" s="460">
        <v>13</v>
      </c>
    </row>
    <row r="14" spans="1:13" s="3" customFormat="1" ht="20.25" customHeight="1" x14ac:dyDescent="0.25">
      <c r="A14" s="1"/>
      <c r="B14" s="331">
        <f>COUNTA($D$2:D14)</f>
        <v>13</v>
      </c>
      <c r="C14" s="9" t="s">
        <v>354</v>
      </c>
      <c r="D14" s="165" t="s">
        <v>167</v>
      </c>
      <c r="E14" s="10">
        <v>6.2</v>
      </c>
      <c r="F14" s="11">
        <v>0.36</v>
      </c>
      <c r="G14" s="6" t="str">
        <f t="shared" si="0"/>
        <v>A3</v>
      </c>
      <c r="H14" s="6" t="str">
        <f t="shared" si="1"/>
        <v>A3.1</v>
      </c>
      <c r="I14" s="1"/>
      <c r="J14" s="4" t="s">
        <v>132</v>
      </c>
      <c r="K14" s="1"/>
      <c r="L14" s="461">
        <v>14</v>
      </c>
    </row>
    <row r="15" spans="1:13" s="3" customFormat="1" ht="20.25" customHeight="1" x14ac:dyDescent="0.25">
      <c r="A15" s="1"/>
      <c r="B15" s="331">
        <f>COUNTA($D$2:D15)</f>
        <v>14</v>
      </c>
      <c r="C15" s="9" t="s">
        <v>352</v>
      </c>
      <c r="D15" s="165" t="s">
        <v>168</v>
      </c>
      <c r="E15" s="10">
        <v>4.4000000000000004</v>
      </c>
      <c r="F15" s="11">
        <v>0.34</v>
      </c>
      <c r="G15" s="6" t="str">
        <f t="shared" si="0"/>
        <v>A2</v>
      </c>
      <c r="H15" s="6" t="str">
        <f t="shared" si="1"/>
        <v>A2.1</v>
      </c>
      <c r="I15" s="1"/>
      <c r="J15" s="4" t="s">
        <v>211</v>
      </c>
      <c r="K15" s="1"/>
      <c r="L15" s="460">
        <v>15</v>
      </c>
    </row>
    <row r="16" spans="1:13" s="3" customFormat="1" ht="20.25" customHeight="1" x14ac:dyDescent="0.2">
      <c r="A16" s="1"/>
      <c r="B16" s="331">
        <f>COUNTA($D$2:D16)</f>
        <v>15</v>
      </c>
      <c r="C16" s="9" t="s">
        <v>340</v>
      </c>
      <c r="D16" s="165" t="s">
        <v>169</v>
      </c>
      <c r="E16" s="10">
        <v>2.34</v>
      </c>
      <c r="F16" s="11">
        <v>0.33</v>
      </c>
      <c r="G16" s="6" t="str">
        <f t="shared" si="0"/>
        <v>A1</v>
      </c>
      <c r="H16" s="6" t="str">
        <f t="shared" si="1"/>
        <v>- - -</v>
      </c>
      <c r="I16" s="1"/>
      <c r="J16" s="2"/>
      <c r="K16" s="1"/>
      <c r="L16" s="461">
        <v>16</v>
      </c>
    </row>
    <row r="17" spans="1:13" s="3" customFormat="1" ht="20.25" customHeight="1" x14ac:dyDescent="0.2">
      <c r="A17" s="1"/>
      <c r="B17" s="331">
        <f>COUNTA($D$2:D17)</f>
        <v>16</v>
      </c>
      <c r="C17" s="9" t="s">
        <v>59</v>
      </c>
      <c r="D17" s="165" t="s">
        <v>170</v>
      </c>
      <c r="E17" s="10">
        <v>2.1</v>
      </c>
      <c r="F17" s="11">
        <v>0.31</v>
      </c>
      <c r="G17" s="6" t="str">
        <f t="shared" si="0"/>
        <v>A0</v>
      </c>
      <c r="H17" s="6" t="str">
        <f t="shared" si="1"/>
        <v>- - -</v>
      </c>
      <c r="I17" s="1"/>
      <c r="J17" s="5"/>
      <c r="L17" s="460">
        <v>17</v>
      </c>
    </row>
    <row r="18" spans="1:13" s="3" customFormat="1" ht="20.25" customHeight="1" x14ac:dyDescent="0.2">
      <c r="A18" s="1"/>
      <c r="B18" s="331">
        <f>COUNTA($D$2:D18)</f>
        <v>17</v>
      </c>
      <c r="C18" s="9" t="s">
        <v>359</v>
      </c>
      <c r="D18" s="165" t="s">
        <v>171</v>
      </c>
      <c r="E18" s="10">
        <v>1.86</v>
      </c>
      <c r="F18" s="11">
        <v>0.2</v>
      </c>
      <c r="G18" s="6" t="str">
        <f t="shared" si="0"/>
        <v>B</v>
      </c>
      <c r="H18" s="6" t="str">
        <f t="shared" si="1"/>
        <v>- - -</v>
      </c>
      <c r="I18" s="1"/>
      <c r="J18" s="5"/>
      <c r="L18" s="461">
        <v>18</v>
      </c>
    </row>
    <row r="19" spans="1:13" s="3" customFormat="1" ht="20.25" customHeight="1" x14ac:dyDescent="0.2">
      <c r="A19" s="1"/>
      <c r="B19" s="331">
        <f>COUNTA($D$2:D19)</f>
        <v>18</v>
      </c>
      <c r="C19" s="9" t="s">
        <v>172</v>
      </c>
      <c r="D19" s="165" t="s">
        <v>173</v>
      </c>
      <c r="E19" s="10">
        <v>6.2</v>
      </c>
      <c r="F19" s="11">
        <v>0.36</v>
      </c>
      <c r="G19" s="6" t="str">
        <f t="shared" si="0"/>
        <v>A3</v>
      </c>
      <c r="H19" s="6" t="str">
        <f>IF(AND(G19="A3",E19=6.2),"A3.1",IF(AND(G19="A3",E19=5.75),"A3.2",IF(AND(G19="A2",E19=4.4),"A2.1",IF(AND(G19="A2",E19=4),"A2.2",IF(G19="C","Nhân viên","- - -")))))</f>
        <v>A3.1</v>
      </c>
      <c r="I19" s="1"/>
      <c r="J19" s="5"/>
      <c r="L19" s="460">
        <v>19</v>
      </c>
    </row>
    <row r="20" spans="1:13" s="3" customFormat="1" ht="20.25" customHeight="1" x14ac:dyDescent="0.2">
      <c r="A20" s="1"/>
      <c r="B20" s="331">
        <f>COUNTA($D$2:D20)</f>
        <v>19</v>
      </c>
      <c r="C20" s="9" t="s">
        <v>174</v>
      </c>
      <c r="D20" s="165" t="s">
        <v>175</v>
      </c>
      <c r="E20" s="10">
        <v>4.4000000000000004</v>
      </c>
      <c r="F20" s="11">
        <v>0.34</v>
      </c>
      <c r="G20" s="6" t="str">
        <f t="shared" si="0"/>
        <v>A2</v>
      </c>
      <c r="H20" s="6" t="str">
        <f t="shared" si="1"/>
        <v>A2.1</v>
      </c>
      <c r="I20" s="1"/>
      <c r="J20" s="5"/>
      <c r="L20" s="461">
        <v>20</v>
      </c>
    </row>
    <row r="21" spans="1:13" s="3" customFormat="1" ht="20.25" customHeight="1" x14ac:dyDescent="0.2">
      <c r="A21" s="1"/>
      <c r="B21" s="331">
        <f>COUNTA($D$2:D21)</f>
        <v>20</v>
      </c>
      <c r="C21" s="9" t="s">
        <v>23</v>
      </c>
      <c r="D21" s="165" t="s">
        <v>176</v>
      </c>
      <c r="E21" s="10">
        <v>2.34</v>
      </c>
      <c r="F21" s="11">
        <v>0.33</v>
      </c>
      <c r="G21" s="6" t="str">
        <f t="shared" si="0"/>
        <v>A1</v>
      </c>
      <c r="H21" s="6" t="str">
        <f t="shared" si="1"/>
        <v>- - -</v>
      </c>
      <c r="I21" s="1"/>
      <c r="J21" s="5"/>
      <c r="L21" s="460">
        <v>21</v>
      </c>
    </row>
    <row r="22" spans="1:13" s="3" customFormat="1" ht="20.25" customHeight="1" x14ac:dyDescent="0.2">
      <c r="A22" s="1"/>
      <c r="B22" s="331">
        <f>COUNTA($D$2:D22)</f>
        <v>21</v>
      </c>
      <c r="C22" s="9" t="s">
        <v>463</v>
      </c>
      <c r="D22" s="165" t="s">
        <v>464</v>
      </c>
      <c r="E22" s="10">
        <v>2.34</v>
      </c>
      <c r="F22" s="11">
        <v>0.33</v>
      </c>
      <c r="G22" s="6" t="str">
        <f t="shared" si="0"/>
        <v>A1</v>
      </c>
      <c r="H22" s="6" t="str">
        <f t="shared" si="1"/>
        <v>- - -</v>
      </c>
      <c r="I22" s="1"/>
      <c r="J22" s="5"/>
      <c r="L22" s="461">
        <v>22</v>
      </c>
    </row>
    <row r="23" spans="1:13" s="12" customFormat="1" ht="20.25" customHeight="1" x14ac:dyDescent="0.2">
      <c r="A23" s="1"/>
      <c r="B23" s="331">
        <f>COUNTA($D$2:D26)</f>
        <v>25</v>
      </c>
      <c r="C23" s="9" t="s">
        <v>220</v>
      </c>
      <c r="D23" s="165" t="s">
        <v>221</v>
      </c>
      <c r="E23" s="10">
        <v>2.34</v>
      </c>
      <c r="F23" s="11">
        <v>0.33</v>
      </c>
      <c r="G23" s="6" t="str">
        <f>IF(F23=0.36,"A3",IF(F23=0.34,"A2",IF(F23=0.33,"A1",IF(F23=0.31,"A0",IF(F23=0.2,"B",IF(F23=0.18,"C"))))))</f>
        <v>A1</v>
      </c>
      <c r="H23" s="6" t="str">
        <f>IF(AND(G23="A3",E23=6.2),"A3.1",IF(AND(G23="A3",E23=5.75),"A3.2",IF(AND(G23="A2",E23=4.4),"A2.1",IF(AND(G23="A2",E23=4),"A2.2",IF(G23="C","Nhân viên","- - -")))))</f>
        <v>- - -</v>
      </c>
      <c r="I23" s="1"/>
      <c r="J23" s="13"/>
      <c r="L23" s="460">
        <v>23</v>
      </c>
    </row>
    <row r="24" spans="1:13" s="459" customFormat="1" ht="20.25" customHeight="1" x14ac:dyDescent="0.2">
      <c r="A24" s="442"/>
      <c r="B24" s="443">
        <f>COUNTA($D$2:D24)</f>
        <v>23</v>
      </c>
      <c r="C24" s="465" t="s">
        <v>526</v>
      </c>
      <c r="D24" s="445" t="s">
        <v>528</v>
      </c>
      <c r="E24" s="446">
        <v>4</v>
      </c>
      <c r="F24" s="447">
        <v>0.34</v>
      </c>
      <c r="G24" s="448" t="str">
        <f>IF(F24=0.36,"A3",IF(F24=0.34,"A2",IF(F24=0.33,"A1",IF(F24=0.31,"A0",IF(F24=0.2,"B",IF(F24=0.18,"C"))))))</f>
        <v>A2</v>
      </c>
      <c r="H24" s="448" t="str">
        <f>IF(AND(G24="A3",E24=6.2),"A3.1",IF(AND(G24="A3",E24=5.75),"A3.2",IF(AND(G24="A2",E24=4.4),"A2.1",IF(AND(G24="A2",E24=4),"A2.2",IF(G24="C","Nhân viên","- - -")))))</f>
        <v>A2.2</v>
      </c>
      <c r="I24" s="442"/>
      <c r="J24" s="466"/>
      <c r="L24" s="460">
        <v>25</v>
      </c>
    </row>
    <row r="25" spans="1:13" s="459" customFormat="1" ht="20.25" customHeight="1" x14ac:dyDescent="0.2">
      <c r="A25" s="442"/>
      <c r="B25" s="443">
        <f>COUNTA($D$2:D25)</f>
        <v>24</v>
      </c>
      <c r="C25" s="465" t="s">
        <v>527</v>
      </c>
      <c r="D25" s="445" t="s">
        <v>529</v>
      </c>
      <c r="E25" s="446">
        <v>2.34</v>
      </c>
      <c r="F25" s="447">
        <v>0.33</v>
      </c>
      <c r="G25" s="448" t="str">
        <f>IF(F25=0.36,"A3",IF(F25=0.34,"A2",IF(F25=0.33,"A1",IF(F25=0.31,"A0",IF(F25=0.2,"B",IF(F25=0.18,"C"))))))</f>
        <v>A1</v>
      </c>
      <c r="H25" s="448" t="str">
        <f>IF(AND(G25="A3",E25=6.2),"A3.1",IF(AND(G25="A3",E25=5.75),"A3.2",IF(AND(G25="A2",E25=4.4),"A2.1",IF(AND(G25="A2",E25=4),"A2.2",IF(G25="C","Nhân viên","- - -")))))</f>
        <v>- - -</v>
      </c>
      <c r="I25" s="442"/>
      <c r="J25" s="466"/>
      <c r="L25" s="460">
        <v>26</v>
      </c>
    </row>
    <row r="26" spans="1:13" s="459" customFormat="1" ht="20.25" customHeight="1" x14ac:dyDescent="0.2">
      <c r="A26" s="442"/>
      <c r="B26" s="443">
        <f>COUNTA($D$2:D26)</f>
        <v>25</v>
      </c>
      <c r="C26" s="465" t="s">
        <v>530</v>
      </c>
      <c r="D26" s="445" t="s">
        <v>531</v>
      </c>
      <c r="E26" s="446">
        <v>1.86</v>
      </c>
      <c r="F26" s="447">
        <v>0.2</v>
      </c>
      <c r="G26" s="448" t="str">
        <f>IF(F26=0.36,"A3",IF(F26=0.34,"A2",IF(F26=0.33,"A1",IF(F26=0.31,"A0",IF(F26=0.2,"B",IF(F26=0.18,"C"))))))</f>
        <v>B</v>
      </c>
      <c r="H26" s="448" t="str">
        <f>IF(AND(G26="A3",E26=6.2),"A3.1",IF(AND(G26="A3",E26=5.75),"A3.2",IF(AND(G26="A2",E26=4.4),"A2.1",IF(AND(G26="A2",E26=4),"A2.2",IF(G26="C","Nhân viên","- - -")))))</f>
        <v>- - -</v>
      </c>
      <c r="I26" s="442"/>
      <c r="J26" s="466"/>
      <c r="L26" s="460">
        <v>28</v>
      </c>
    </row>
    <row r="27" spans="1:13" s="434" customFormat="1" ht="20.25" customHeight="1" x14ac:dyDescent="0.2">
      <c r="B27" s="435">
        <f>COUNTA($D$2:D27)</f>
        <v>26</v>
      </c>
      <c r="C27" s="436" t="s">
        <v>384</v>
      </c>
      <c r="D27" s="437" t="s">
        <v>179</v>
      </c>
      <c r="E27" s="438">
        <v>2.1</v>
      </c>
      <c r="F27" s="439">
        <v>0.31</v>
      </c>
      <c r="G27" s="440" t="str">
        <f>IF(F27=0.36,"A3",IF(F27=0.34,"A2",IF(F27=0.33,"A1",IF(F27=0.31,"A0",IF(F27=0.2,"B",IF(F27=0.18,"C"))))))</f>
        <v>A0</v>
      </c>
      <c r="H27" s="440" t="str">
        <f>IF(AND(G27="A3",E27=6.2),"A3.1",IF(AND(G27="A3",E27=5.75),"A3.2",IF(AND(G27="A2",E27=4.4),"A2.1",IF(AND(G27="A2",E27=4),"A2.2",IF(G27="C","Nhân viên","- - -")))))</f>
        <v>- - -</v>
      </c>
      <c r="J27" s="441"/>
      <c r="L27" s="463">
        <v>27</v>
      </c>
      <c r="M27" s="434" t="s">
        <v>532</v>
      </c>
    </row>
    <row r="28" spans="1:13" s="3" customFormat="1" ht="20.25" customHeight="1" x14ac:dyDescent="0.2">
      <c r="A28" s="1"/>
      <c r="B28" s="331">
        <f>COUNTA($D$2:D28)</f>
        <v>27</v>
      </c>
      <c r="C28" s="249" t="s">
        <v>443</v>
      </c>
      <c r="D28" s="165" t="s">
        <v>444</v>
      </c>
      <c r="E28" s="10">
        <v>6.2</v>
      </c>
      <c r="F28" s="11">
        <v>0.36</v>
      </c>
      <c r="G28" s="6" t="str">
        <f t="shared" si="0"/>
        <v>A3</v>
      </c>
      <c r="H28" s="6" t="str">
        <f t="shared" si="1"/>
        <v>A3.1</v>
      </c>
      <c r="I28" s="1"/>
      <c r="J28" s="5"/>
      <c r="L28" s="460">
        <v>29</v>
      </c>
    </row>
    <row r="29" spans="1:13" s="3" customFormat="1" ht="20.25" customHeight="1" x14ac:dyDescent="0.2">
      <c r="A29" s="1"/>
      <c r="B29" s="331">
        <f>COUNTA($D$2:D29)</f>
        <v>28</v>
      </c>
      <c r="C29" s="249" t="s">
        <v>445</v>
      </c>
      <c r="D29" s="165" t="s">
        <v>446</v>
      </c>
      <c r="E29" s="10">
        <v>4.4000000000000004</v>
      </c>
      <c r="F29" s="11">
        <v>0.34</v>
      </c>
      <c r="G29" s="6" t="str">
        <f t="shared" si="0"/>
        <v>A2</v>
      </c>
      <c r="H29" s="6" t="str">
        <f t="shared" si="1"/>
        <v>A2.1</v>
      </c>
      <c r="I29" s="1"/>
      <c r="J29" s="5"/>
      <c r="L29" s="461">
        <v>30</v>
      </c>
    </row>
    <row r="30" spans="1:13" s="3" customFormat="1" ht="20.25" customHeight="1" x14ac:dyDescent="0.2">
      <c r="A30" s="1"/>
      <c r="B30" s="331">
        <f>COUNTA($D$2:D30)</f>
        <v>29</v>
      </c>
      <c r="C30" s="249" t="s">
        <v>447</v>
      </c>
      <c r="D30" s="165" t="s">
        <v>448</v>
      </c>
      <c r="E30" s="10">
        <v>2.34</v>
      </c>
      <c r="F30" s="11">
        <v>0.33</v>
      </c>
      <c r="G30" s="6" t="str">
        <f t="shared" si="0"/>
        <v>A1</v>
      </c>
      <c r="H30" s="6" t="str">
        <f t="shared" si="1"/>
        <v>- - -</v>
      </c>
      <c r="I30" s="1"/>
      <c r="J30" s="5"/>
      <c r="L30" s="460">
        <v>31</v>
      </c>
    </row>
    <row r="31" spans="1:13" s="3" customFormat="1" ht="20.25" customHeight="1" x14ac:dyDescent="0.2">
      <c r="A31" s="1"/>
      <c r="B31" s="331">
        <f>COUNTA($D$2:D31)</f>
        <v>30</v>
      </c>
      <c r="C31" s="249" t="s">
        <v>449</v>
      </c>
      <c r="D31" s="165" t="s">
        <v>450</v>
      </c>
      <c r="E31" s="10">
        <v>1.86</v>
      </c>
      <c r="F31" s="11">
        <v>0.2</v>
      </c>
      <c r="G31" s="6" t="str">
        <f t="shared" si="0"/>
        <v>B</v>
      </c>
      <c r="H31" s="6" t="str">
        <f t="shared" si="1"/>
        <v>- - -</v>
      </c>
      <c r="I31" s="1"/>
      <c r="J31" s="5"/>
      <c r="L31" s="461">
        <v>32</v>
      </c>
    </row>
    <row r="32" spans="1:13" s="450" customFormat="1" ht="20.25" customHeight="1" x14ac:dyDescent="0.2">
      <c r="A32" s="442"/>
      <c r="B32" s="443">
        <f>COUNTA($D$2:D32)</f>
        <v>31</v>
      </c>
      <c r="C32" s="444" t="s">
        <v>513</v>
      </c>
      <c r="D32" s="445" t="s">
        <v>514</v>
      </c>
      <c r="E32" s="446">
        <v>6.2</v>
      </c>
      <c r="F32" s="447">
        <v>0.36</v>
      </c>
      <c r="G32" s="448" t="str">
        <f t="shared" si="0"/>
        <v>A3</v>
      </c>
      <c r="H32" s="448" t="str">
        <f t="shared" si="1"/>
        <v>A3.1</v>
      </c>
      <c r="I32" s="442"/>
      <c r="J32" s="449"/>
      <c r="L32" s="460">
        <v>33</v>
      </c>
    </row>
    <row r="33" spans="1:12" s="450" customFormat="1" ht="20.25" customHeight="1" x14ac:dyDescent="0.2">
      <c r="A33" s="442"/>
      <c r="B33" s="443">
        <f>COUNTA($D$2:D33)</f>
        <v>32</v>
      </c>
      <c r="C33" s="444" t="s">
        <v>515</v>
      </c>
      <c r="D33" s="445" t="s">
        <v>516</v>
      </c>
      <c r="E33" s="446">
        <v>4.4000000000000004</v>
      </c>
      <c r="F33" s="447">
        <v>0.34</v>
      </c>
      <c r="G33" s="448" t="str">
        <f t="shared" si="0"/>
        <v>A2</v>
      </c>
      <c r="H33" s="448" t="str">
        <f t="shared" si="1"/>
        <v>A2.1</v>
      </c>
      <c r="I33" s="442"/>
      <c r="J33" s="449"/>
      <c r="L33" s="461">
        <v>34</v>
      </c>
    </row>
    <row r="34" spans="1:12" s="450" customFormat="1" ht="20.25" customHeight="1" x14ac:dyDescent="0.2">
      <c r="A34" s="442"/>
      <c r="B34" s="443">
        <f>COUNTA($D$2:D34)</f>
        <v>33</v>
      </c>
      <c r="C34" s="444" t="s">
        <v>518</v>
      </c>
      <c r="D34" s="445" t="s">
        <v>517</v>
      </c>
      <c r="E34" s="446">
        <v>2.34</v>
      </c>
      <c r="F34" s="447">
        <v>0.33</v>
      </c>
      <c r="G34" s="448" t="str">
        <f t="shared" si="0"/>
        <v>A1</v>
      </c>
      <c r="H34" s="448" t="str">
        <f t="shared" si="1"/>
        <v>- - -</v>
      </c>
      <c r="I34" s="442"/>
      <c r="J34" s="449"/>
      <c r="L34" s="460">
        <v>35</v>
      </c>
    </row>
    <row r="35" spans="1:12" s="450" customFormat="1" ht="20.25" customHeight="1" x14ac:dyDescent="0.2">
      <c r="A35" s="442"/>
      <c r="B35" s="443">
        <f>COUNTA($D$2:D35)</f>
        <v>34</v>
      </c>
      <c r="C35" s="444" t="s">
        <v>519</v>
      </c>
      <c r="D35" s="445" t="s">
        <v>649</v>
      </c>
      <c r="E35" s="446">
        <v>1.86</v>
      </c>
      <c r="F35" s="447">
        <v>0.2</v>
      </c>
      <c r="G35" s="448" t="str">
        <f t="shared" si="0"/>
        <v>B</v>
      </c>
      <c r="H35" s="448" t="str">
        <f t="shared" si="1"/>
        <v>- - -</v>
      </c>
      <c r="I35" s="442"/>
      <c r="J35" s="449"/>
      <c r="L35" s="461">
        <v>36</v>
      </c>
    </row>
    <row r="36" spans="1:12" s="450" customFormat="1" ht="20.25" customHeight="1" x14ac:dyDescent="0.2">
      <c r="A36" s="442"/>
      <c r="B36" s="443">
        <f>COUNTA($D$2:D36)</f>
        <v>35</v>
      </c>
      <c r="C36" s="444" t="s">
        <v>520</v>
      </c>
      <c r="D36" s="445" t="s">
        <v>652</v>
      </c>
      <c r="E36" s="446">
        <v>6.2</v>
      </c>
      <c r="F36" s="447">
        <v>0.36</v>
      </c>
      <c r="G36" s="448" t="str">
        <f t="shared" si="0"/>
        <v>A3</v>
      </c>
      <c r="H36" s="448" t="str">
        <f t="shared" si="1"/>
        <v>A3.1</v>
      </c>
      <c r="I36" s="442"/>
      <c r="J36" s="449"/>
      <c r="L36" s="460">
        <v>37</v>
      </c>
    </row>
    <row r="37" spans="1:12" s="450" customFormat="1" ht="20.25" customHeight="1" x14ac:dyDescent="0.2">
      <c r="A37" s="442"/>
      <c r="B37" s="443">
        <f>COUNTA($D$2:D37)</f>
        <v>36</v>
      </c>
      <c r="C37" s="444" t="s">
        <v>521</v>
      </c>
      <c r="D37" s="445" t="s">
        <v>650</v>
      </c>
      <c r="E37" s="446">
        <v>4.4000000000000004</v>
      </c>
      <c r="F37" s="447">
        <v>0.34</v>
      </c>
      <c r="G37" s="448" t="str">
        <f t="shared" si="0"/>
        <v>A2</v>
      </c>
      <c r="H37" s="448" t="str">
        <f t="shared" si="1"/>
        <v>A2.1</v>
      </c>
      <c r="I37" s="442"/>
      <c r="J37" s="449"/>
      <c r="L37" s="461">
        <v>38</v>
      </c>
    </row>
    <row r="38" spans="1:12" s="450" customFormat="1" ht="20.25" customHeight="1" x14ac:dyDescent="0.2">
      <c r="A38" s="442"/>
      <c r="B38" s="443">
        <f>COUNTA($D$2:D38)</f>
        <v>37</v>
      </c>
      <c r="C38" s="444" t="s">
        <v>522</v>
      </c>
      <c r="D38" s="445" t="s">
        <v>651</v>
      </c>
      <c r="E38" s="446">
        <v>2.34</v>
      </c>
      <c r="F38" s="447">
        <v>0.33</v>
      </c>
      <c r="G38" s="448" t="str">
        <f t="shared" si="0"/>
        <v>A1</v>
      </c>
      <c r="H38" s="448" t="str">
        <f t="shared" si="1"/>
        <v>- - -</v>
      </c>
      <c r="I38" s="442"/>
      <c r="J38" s="449"/>
      <c r="L38" s="460">
        <v>39</v>
      </c>
    </row>
    <row r="39" spans="1:12" s="450" customFormat="1" ht="20.25" customHeight="1" x14ac:dyDescent="0.2">
      <c r="A39" s="442"/>
      <c r="B39" s="443">
        <f>COUNTA($D$2:D39)</f>
        <v>38</v>
      </c>
      <c r="C39" s="444" t="s">
        <v>523</v>
      </c>
      <c r="D39" s="445" t="s">
        <v>656</v>
      </c>
      <c r="E39" s="446">
        <v>6.2</v>
      </c>
      <c r="F39" s="447">
        <v>0.36</v>
      </c>
      <c r="G39" s="448" t="str">
        <f t="shared" si="0"/>
        <v>A3</v>
      </c>
      <c r="H39" s="448" t="str">
        <f>IF(AND(G39="A3",E39=6.2),"A3.1",IF(AND(G39="A3",E39=5.75),"A3.2",IF(AND(G39="A2",E39=4.4),"A2.1",IF(AND(G39="A2",E39=4),"A2.2",IF(G39="C","Nhân viên","- - -")))))</f>
        <v>A3.1</v>
      </c>
      <c r="I39" s="442"/>
      <c r="J39" s="449"/>
      <c r="L39" s="461">
        <v>40</v>
      </c>
    </row>
    <row r="40" spans="1:12" s="450" customFormat="1" ht="20.25" customHeight="1" x14ac:dyDescent="0.2">
      <c r="A40" s="442"/>
      <c r="B40" s="443">
        <f>COUNTA($D$2:D40)</f>
        <v>39</v>
      </c>
      <c r="C40" s="444" t="s">
        <v>524</v>
      </c>
      <c r="D40" s="445" t="s">
        <v>655</v>
      </c>
      <c r="E40" s="446">
        <v>4.4000000000000004</v>
      </c>
      <c r="F40" s="447">
        <v>0.34</v>
      </c>
      <c r="G40" s="448" t="str">
        <f t="shared" si="0"/>
        <v>A2</v>
      </c>
      <c r="H40" s="448" t="str">
        <f>IF(AND(G40="A3",E40=6.2),"A3.1",IF(AND(G40="A3",E40=5.75),"A3.2",IF(AND(G40="A2",E40=4.4),"A2.1",IF(AND(G40="A2",E40=4),"A2.2",IF(G40="C","Nhân viên","- - -")))))</f>
        <v>A2.1</v>
      </c>
      <c r="I40" s="442"/>
      <c r="J40" s="449"/>
      <c r="L40" s="460">
        <v>41</v>
      </c>
    </row>
    <row r="41" spans="1:12" s="450" customFormat="1" ht="20.25" customHeight="1" x14ac:dyDescent="0.2">
      <c r="A41" s="442"/>
      <c r="B41" s="443">
        <f>COUNTA($D$2:D41)</f>
        <v>40</v>
      </c>
      <c r="C41" s="444" t="s">
        <v>525</v>
      </c>
      <c r="D41" s="445" t="s">
        <v>654</v>
      </c>
      <c r="E41" s="446">
        <v>2.34</v>
      </c>
      <c r="F41" s="447">
        <v>0.33</v>
      </c>
      <c r="G41" s="448" t="str">
        <f t="shared" si="0"/>
        <v>A1</v>
      </c>
      <c r="H41" s="448" t="str">
        <f>IF(AND(G41="A3",E41=6.2),"A3.1",IF(AND(G41="A3",E41=5.75),"A3.2",IF(AND(G41="A2",E41=4.4),"A2.1",IF(AND(G41="A2",E41=4),"A2.2",IF(G41="C","Nhân viên","- - -")))))</f>
        <v>- - -</v>
      </c>
      <c r="I41" s="442"/>
      <c r="J41" s="449"/>
      <c r="L41" s="461">
        <v>42</v>
      </c>
    </row>
    <row r="42" spans="1:12" s="451" customFormat="1" ht="20.25" customHeight="1" x14ac:dyDescent="0.2">
      <c r="B42" s="452">
        <f>COUNTA($D$2:D42)</f>
        <v>41</v>
      </c>
      <c r="C42" s="453" t="s">
        <v>294</v>
      </c>
      <c r="D42" s="454" t="s">
        <v>186</v>
      </c>
      <c r="E42" s="455">
        <v>4.4000000000000004</v>
      </c>
      <c r="F42" s="456">
        <v>0.34</v>
      </c>
      <c r="G42" s="457" t="str">
        <f>IF(F42=0.36,"A3",IF(F42=0.34,"A2",IF(F42=0.33,"A1",IF(F42=0.31,"A0",IF(F42=0.2,"B",IF(F42=0.18,"C"))))))</f>
        <v>A2</v>
      </c>
      <c r="H42" s="457" t="str">
        <f>IF(AND(G42="A3",E42=6.2),"A3.1",IF(AND(G42="A3",E42=5.75),"A3.2",IF(AND(G42="A2",E42=4.4),"A2.1",IF(AND(G42="A2",E42=4),"A2.2",IF(G42="C","Nhân viên","- - -")))))</f>
        <v>A2.1</v>
      </c>
      <c r="J42" s="458"/>
      <c r="L42" s="460">
        <v>43</v>
      </c>
    </row>
    <row r="43" spans="1:12" s="451" customFormat="1" ht="20.25" customHeight="1" x14ac:dyDescent="0.2">
      <c r="B43" s="452">
        <f>COUNTA($D$2:D43)</f>
        <v>42</v>
      </c>
      <c r="C43" s="453" t="s">
        <v>61</v>
      </c>
      <c r="D43" s="454" t="s">
        <v>64</v>
      </c>
      <c r="E43" s="455">
        <v>4.4000000000000004</v>
      </c>
      <c r="F43" s="456">
        <v>0.34</v>
      </c>
      <c r="G43" s="457" t="str">
        <f>IF(F43=0.36,"A3",IF(F43=0.34,"A2",IF(F43=0.33,"A1",IF(F43=0.31,"A0",IF(F43=0.2,"B",IF(F43=0.18,"C"))))))</f>
        <v>A2</v>
      </c>
      <c r="H43" s="457" t="str">
        <f>IF(AND(G43="A3",E43=6.2),"A3.1",IF(AND(G43="A3",E43=5.75),"A3.2",IF(AND(G43="A2",E43=4.4),"A2.1",IF(AND(G43="A2",E43=4),"A2.2",IF(G43="C","Nhân viên","- - -")))))</f>
        <v>A2.1</v>
      </c>
      <c r="J43" s="458"/>
      <c r="L43" s="461">
        <v>44</v>
      </c>
    </row>
    <row r="44" spans="1:12" s="3" customFormat="1" ht="20.25" customHeight="1" x14ac:dyDescent="0.2">
      <c r="A44" s="338"/>
      <c r="B44" s="331">
        <f>COUNTA($D$2:D44)</f>
        <v>43</v>
      </c>
      <c r="C44" s="9" t="s">
        <v>188</v>
      </c>
      <c r="D44" s="165" t="s">
        <v>189</v>
      </c>
      <c r="E44" s="10">
        <v>5.75</v>
      </c>
      <c r="F44" s="11">
        <v>0.36</v>
      </c>
      <c r="G44" s="6" t="str">
        <f t="shared" si="0"/>
        <v>A3</v>
      </c>
      <c r="H44" s="6" t="str">
        <f t="shared" si="1"/>
        <v>A3.2</v>
      </c>
      <c r="I44" s="338"/>
      <c r="J44" s="5"/>
      <c r="L44" s="460">
        <v>45</v>
      </c>
    </row>
    <row r="45" spans="1:12" s="3" customFormat="1" ht="20.25" customHeight="1" x14ac:dyDescent="0.2">
      <c r="A45" s="1"/>
      <c r="B45" s="331">
        <f>COUNTA($D$2:D45)</f>
        <v>44</v>
      </c>
      <c r="C45" s="9" t="s">
        <v>72</v>
      </c>
      <c r="D45" s="165" t="s">
        <v>190</v>
      </c>
      <c r="E45" s="10">
        <v>4</v>
      </c>
      <c r="F45" s="11">
        <v>0.34</v>
      </c>
      <c r="G45" s="6" t="str">
        <f t="shared" si="0"/>
        <v>A2</v>
      </c>
      <c r="H45" s="6" t="str">
        <f t="shared" si="1"/>
        <v>A2.2</v>
      </c>
      <c r="I45" s="1"/>
      <c r="J45" s="5"/>
      <c r="L45" s="461">
        <v>46</v>
      </c>
    </row>
    <row r="46" spans="1:12" s="3" customFormat="1" ht="20.25" customHeight="1" x14ac:dyDescent="0.2">
      <c r="A46" s="1"/>
      <c r="B46" s="331">
        <f>COUNTA($D$2:D46)</f>
        <v>45</v>
      </c>
      <c r="C46" s="9" t="s">
        <v>341</v>
      </c>
      <c r="D46" s="165" t="s">
        <v>191</v>
      </c>
      <c r="E46" s="10">
        <v>2.34</v>
      </c>
      <c r="F46" s="11">
        <v>0.33</v>
      </c>
      <c r="G46" s="6" t="str">
        <f t="shared" si="0"/>
        <v>A1</v>
      </c>
      <c r="H46" s="6" t="str">
        <f t="shared" si="1"/>
        <v>- - -</v>
      </c>
      <c r="I46" s="1"/>
      <c r="J46" s="5"/>
      <c r="L46" s="460">
        <v>47</v>
      </c>
    </row>
    <row r="47" spans="1:12" s="3" customFormat="1" ht="20.25" customHeight="1" x14ac:dyDescent="0.2">
      <c r="A47" s="1"/>
      <c r="B47" s="331">
        <f>COUNTA($D$2:D47)</f>
        <v>46</v>
      </c>
      <c r="C47" s="9" t="s">
        <v>79</v>
      </c>
      <c r="D47" s="165" t="s">
        <v>192</v>
      </c>
      <c r="E47" s="10">
        <v>2.1</v>
      </c>
      <c r="F47" s="11">
        <v>0.31</v>
      </c>
      <c r="G47" s="6" t="str">
        <f t="shared" si="0"/>
        <v>A0</v>
      </c>
      <c r="H47" s="6" t="str">
        <f t="shared" si="1"/>
        <v>- - -</v>
      </c>
      <c r="I47" s="1"/>
      <c r="J47" s="5"/>
      <c r="L47" s="461">
        <v>48</v>
      </c>
    </row>
    <row r="48" spans="1:12" s="3" customFormat="1" ht="20.25" customHeight="1" x14ac:dyDescent="0.2">
      <c r="A48" s="1"/>
      <c r="B48" s="331">
        <f>COUNTA($D$2:D48)</f>
        <v>47</v>
      </c>
      <c r="C48" s="9" t="s">
        <v>71</v>
      </c>
      <c r="D48" s="165" t="s">
        <v>193</v>
      </c>
      <c r="E48" s="10">
        <v>1.86</v>
      </c>
      <c r="F48" s="11">
        <v>0.2</v>
      </c>
      <c r="G48" s="6" t="str">
        <f t="shared" si="0"/>
        <v>B</v>
      </c>
      <c r="H48" s="6" t="str">
        <f t="shared" si="1"/>
        <v>- - -</v>
      </c>
      <c r="I48" s="1"/>
      <c r="J48" s="5"/>
      <c r="L48" s="460">
        <v>49</v>
      </c>
    </row>
    <row r="49" spans="1:13" s="3" customFormat="1" ht="20.25" customHeight="1" x14ac:dyDescent="0.2">
      <c r="A49" s="1"/>
      <c r="B49" s="331">
        <f>COUNTA($D$2:D49)</f>
        <v>48</v>
      </c>
      <c r="C49" s="9" t="s">
        <v>98</v>
      </c>
      <c r="D49" s="165" t="s">
        <v>195</v>
      </c>
      <c r="E49" s="10">
        <v>2.34</v>
      </c>
      <c r="F49" s="11">
        <v>0.33</v>
      </c>
      <c r="G49" s="6" t="str">
        <f t="shared" si="0"/>
        <v>A1</v>
      </c>
      <c r="H49" s="6" t="str">
        <f t="shared" si="1"/>
        <v>- - -</v>
      </c>
      <c r="I49" s="1"/>
      <c r="J49" s="5"/>
      <c r="L49" s="461">
        <v>50</v>
      </c>
    </row>
    <row r="50" spans="1:13" s="3" customFormat="1" ht="20.25" customHeight="1" x14ac:dyDescent="0.2">
      <c r="A50" s="1"/>
      <c r="B50" s="331">
        <f>COUNTA($D$2:D50)</f>
        <v>49</v>
      </c>
      <c r="C50" s="9" t="s">
        <v>196</v>
      </c>
      <c r="D50" s="165" t="s">
        <v>197</v>
      </c>
      <c r="E50" s="10">
        <v>2.1</v>
      </c>
      <c r="F50" s="11">
        <v>0.31</v>
      </c>
      <c r="G50" s="6" t="str">
        <f t="shared" si="0"/>
        <v>A0</v>
      </c>
      <c r="H50" s="6" t="str">
        <f t="shared" si="1"/>
        <v>- - -</v>
      </c>
      <c r="I50" s="338"/>
      <c r="J50" s="5"/>
      <c r="L50" s="460">
        <v>51</v>
      </c>
    </row>
    <row r="51" spans="1:13" s="3" customFormat="1" ht="20.25" customHeight="1" x14ac:dyDescent="0.2">
      <c r="A51" s="338"/>
      <c r="B51" s="331">
        <f>COUNTA($D$2:D51)</f>
        <v>50</v>
      </c>
      <c r="C51" s="9" t="s">
        <v>198</v>
      </c>
      <c r="D51" s="165" t="s">
        <v>199</v>
      </c>
      <c r="E51" s="10">
        <v>1.86</v>
      </c>
      <c r="F51" s="11">
        <v>0.2</v>
      </c>
      <c r="G51" s="6" t="str">
        <f t="shared" si="0"/>
        <v>B</v>
      </c>
      <c r="H51" s="6" t="str">
        <f t="shared" si="1"/>
        <v>- - -</v>
      </c>
      <c r="I51" s="338"/>
      <c r="J51" s="5"/>
      <c r="L51" s="461">
        <v>52</v>
      </c>
    </row>
    <row r="52" spans="1:13" s="166" customFormat="1" ht="20.25" customHeight="1" x14ac:dyDescent="0.2">
      <c r="A52" s="339"/>
      <c r="B52" s="331">
        <f>COUNTA($D$2:D52)</f>
        <v>51</v>
      </c>
      <c r="C52" s="167" t="s">
        <v>421</v>
      </c>
      <c r="D52" s="168" t="s">
        <v>201</v>
      </c>
      <c r="E52" s="169">
        <v>2.0499999999999998</v>
      </c>
      <c r="F52" s="170">
        <v>0.18</v>
      </c>
      <c r="G52" s="171" t="str">
        <f t="shared" si="0"/>
        <v>C</v>
      </c>
      <c r="H52" s="171" t="str">
        <f t="shared" si="1"/>
        <v>Nhân viên</v>
      </c>
      <c r="I52" s="338"/>
      <c r="J52" s="172"/>
      <c r="L52" s="460">
        <v>53</v>
      </c>
    </row>
    <row r="53" spans="1:13" s="166" customFormat="1" ht="20.25" customHeight="1" x14ac:dyDescent="0.2">
      <c r="A53" s="339"/>
      <c r="B53" s="331">
        <f>COUNTA($D$2:D53)</f>
        <v>52</v>
      </c>
      <c r="C53" s="167" t="s">
        <v>97</v>
      </c>
      <c r="D53" s="168" t="s">
        <v>423</v>
      </c>
      <c r="E53" s="169">
        <v>1.5</v>
      </c>
      <c r="F53" s="170">
        <v>0.18</v>
      </c>
      <c r="G53" s="171" t="str">
        <f t="shared" si="0"/>
        <v>C</v>
      </c>
      <c r="H53" s="171" t="str">
        <f t="shared" si="1"/>
        <v>Nhân viên</v>
      </c>
      <c r="I53" s="338"/>
      <c r="J53" s="172"/>
      <c r="L53" s="461">
        <v>54</v>
      </c>
      <c r="M53" s="173"/>
    </row>
    <row r="54" spans="1:13" s="166" customFormat="1" ht="20.25" customHeight="1" x14ac:dyDescent="0.2">
      <c r="A54" s="339"/>
      <c r="B54" s="331">
        <f>COUNTA($D$2:D54)</f>
        <v>53</v>
      </c>
      <c r="C54" s="167" t="s">
        <v>358</v>
      </c>
      <c r="D54" s="168" t="s">
        <v>202</v>
      </c>
      <c r="E54" s="169">
        <v>1.65</v>
      </c>
      <c r="F54" s="170">
        <v>0.18</v>
      </c>
      <c r="G54" s="171" t="str">
        <f>IF(F54=0.36,"A3",IF(F54=0.34,"A2",IF(F54=0.33,"A1",IF(F54=0.31,"A0",IF(F54=0.2,"B",IF(F54=0.18,"C"))))))</f>
        <v>C</v>
      </c>
      <c r="H54" s="171" t="str">
        <f>IF(AND(G54="A3",E54=6.2),"A3.1",IF(AND(G54="A3",E54=5.75),"A3.2",IF(AND(G54="A2",E54=4.4),"A2.1",IF(AND(G54="A2",E54=4),"A2.2",IF(G54="C","Nhân viên","- - -")))))</f>
        <v>Nhân viên</v>
      </c>
      <c r="I54" s="338"/>
      <c r="J54" s="172"/>
      <c r="L54" s="460">
        <v>55</v>
      </c>
    </row>
    <row r="55" spans="1:13" s="166" customFormat="1" ht="20.25" customHeight="1" x14ac:dyDescent="0.2">
      <c r="A55" s="339"/>
      <c r="B55" s="331">
        <f>COUNTA($D$2:D55)</f>
        <v>54</v>
      </c>
      <c r="C55" s="167" t="s">
        <v>420</v>
      </c>
      <c r="D55" s="168" t="s">
        <v>422</v>
      </c>
      <c r="E55" s="169">
        <v>1.35</v>
      </c>
      <c r="F55" s="170">
        <v>0.18</v>
      </c>
      <c r="G55" s="171" t="str">
        <f>IF(F55=0.36,"A3",IF(F55=0.34,"A2",IF(F55=0.33,"A1",IF(F55=0.31,"A0",IF(F55=0.2,"B",IF(F55=0.18,"C"))))))</f>
        <v>C</v>
      </c>
      <c r="H55" s="171" t="str">
        <f>IF(AND(G55="A3",E55=6.2),"A3.1",IF(AND(G55="A3",E55=5.75),"A3.2",IF(AND(G55="A2",E55=4.4),"A2.1",IF(AND(G55="A2",E55=4),"A2.2",IF(G55="C","Nhân viên","- - -")))))</f>
        <v>Nhân viên</v>
      </c>
      <c r="I55" s="338"/>
      <c r="J55" s="172"/>
      <c r="L55" s="461">
        <v>56</v>
      </c>
      <c r="M55" s="173"/>
    </row>
    <row r="56" spans="1:13" s="166" customFormat="1" ht="20.25" customHeight="1" x14ac:dyDescent="0.2">
      <c r="A56" s="339"/>
      <c r="B56" s="331">
        <f>COUNTA($D$2:D56)</f>
        <v>55</v>
      </c>
      <c r="C56" s="167" t="s">
        <v>356</v>
      </c>
      <c r="D56" s="168" t="s">
        <v>203</v>
      </c>
      <c r="E56" s="169">
        <v>1</v>
      </c>
      <c r="F56" s="170">
        <v>0.18</v>
      </c>
      <c r="G56" s="171" t="str">
        <f t="shared" si="0"/>
        <v>C</v>
      </c>
      <c r="H56" s="171" t="str">
        <f t="shared" si="1"/>
        <v>Nhân viên</v>
      </c>
      <c r="I56" s="338"/>
      <c r="J56" s="172"/>
      <c r="L56" s="460">
        <v>57</v>
      </c>
    </row>
    <row r="57" spans="1:13" s="166" customFormat="1" ht="20.25" customHeight="1" x14ac:dyDescent="0.2">
      <c r="A57" s="339"/>
      <c r="B57" s="331">
        <f>COUNTA($D$2:D57)</f>
        <v>56</v>
      </c>
      <c r="C57" s="167" t="s">
        <v>355</v>
      </c>
      <c r="D57" s="168" t="s">
        <v>194</v>
      </c>
      <c r="E57" s="169">
        <v>2.0499999999999998</v>
      </c>
      <c r="F57" s="170">
        <v>0.18</v>
      </c>
      <c r="G57" s="171" t="str">
        <f>IF(F57=0.36,"A3",IF(F57=0.34,"A2",IF(F57=0.33,"A1",IF(F57=0.31,"A0",IF(F57=0.2,"B",IF(F57=0.18,"C"))))))</f>
        <v>C</v>
      </c>
      <c r="H57" s="171" t="str">
        <f>IF(AND(G57="A3",E57=6.2),"A3.1",IF(AND(G57="A3",E57=5.75),"A3.2",IF(AND(G57="A2",E57=4.4),"A2.1",IF(AND(G57="A2",E57=4),"A2.2",IF(G57="C","Nhân viên","- - -")))))</f>
        <v>Nhân viên</v>
      </c>
      <c r="I57" s="338"/>
      <c r="J57" s="172"/>
      <c r="L57" s="461">
        <v>58</v>
      </c>
    </row>
    <row r="58" spans="1:13" s="166" customFormat="1" ht="20.25" customHeight="1" x14ac:dyDescent="0.2">
      <c r="A58" s="339"/>
      <c r="B58" s="331">
        <f>COUNTA($D$2:D58)</f>
        <v>57</v>
      </c>
      <c r="C58" s="167" t="s">
        <v>357</v>
      </c>
      <c r="D58" s="168" t="s">
        <v>200</v>
      </c>
      <c r="E58" s="169">
        <v>1.5</v>
      </c>
      <c r="F58" s="170">
        <v>0.18</v>
      </c>
      <c r="G58" s="171" t="str">
        <f>IF(F58=0.36,"A3",IF(F58=0.34,"A2",IF(F58=0.33,"A1",IF(F58=0.31,"A0",IF(F58=0.2,"B",IF(F58=0.18,"C"))))))</f>
        <v>C</v>
      </c>
      <c r="H58" s="171" t="str">
        <f>IF(AND(G58="A3",E58=6.2),"A3.1",IF(AND(G58="A3",E58=5.75),"A3.2",IF(AND(G58="A2",E58=4.4),"A2.1",IF(AND(G58="A2",E58=4),"A2.2",IF(G58="C","Nhân viên","- - -")))))</f>
        <v>Nhân viên</v>
      </c>
      <c r="I58" s="338"/>
      <c r="J58" s="172"/>
      <c r="L58" s="460">
        <v>59</v>
      </c>
    </row>
    <row r="59" spans="1:13" s="3" customFormat="1" ht="20.25" customHeight="1" x14ac:dyDescent="0.2">
      <c r="A59" s="338"/>
      <c r="B59" s="331">
        <f>COUNTA($D$2:D59)</f>
        <v>58</v>
      </c>
      <c r="C59" s="9" t="s">
        <v>69</v>
      </c>
      <c r="D59" s="165" t="s">
        <v>204</v>
      </c>
      <c r="E59" s="10">
        <v>1.65</v>
      </c>
      <c r="F59" s="11">
        <v>0.18</v>
      </c>
      <c r="G59" s="6" t="str">
        <f>IF(F59=0.36,"A3",IF(F59=0.34,"A2",IF(F59=0.33,"A1",IF(F59=0.31,"A0",IF(F59=0.2,"B",IF(F59=0.18,"C"))))))</f>
        <v>C</v>
      </c>
      <c r="H59" s="6" t="str">
        <f>IF(AND(G59="A3",E59=6.2),"A3.1",IF(AND(G59="A3",E59=5.75),"A3.2",IF(AND(G59="A2",E59=4.4),"A2.1",IF(AND(G59="A2",E59=4),"A2.2",IF(G59="C","Nhân viên","- - -")))))</f>
        <v>Nhân viên</v>
      </c>
      <c r="I59" s="338"/>
      <c r="J59" s="5"/>
      <c r="L59" s="461">
        <v>60</v>
      </c>
    </row>
    <row r="60" spans="1:13" s="3" customFormat="1" ht="20.25" customHeight="1" x14ac:dyDescent="0.2">
      <c r="A60" s="1"/>
      <c r="B60" s="331">
        <f>COUNTA($D$2:D60)</f>
        <v>59</v>
      </c>
      <c r="C60" s="9" t="s">
        <v>205</v>
      </c>
      <c r="D60" s="165" t="s">
        <v>206</v>
      </c>
      <c r="E60" s="10">
        <v>1.5</v>
      </c>
      <c r="F60" s="11">
        <v>0.18</v>
      </c>
      <c r="G60" s="6" t="str">
        <f t="shared" si="0"/>
        <v>C</v>
      </c>
      <c r="H60" s="6" t="str">
        <f t="shared" si="1"/>
        <v>Nhân viên</v>
      </c>
      <c r="I60" s="338"/>
      <c r="J60" s="5"/>
      <c r="L60" s="460">
        <v>61</v>
      </c>
    </row>
    <row r="61" spans="1:13" s="3" customFormat="1" ht="20.25" customHeight="1" x14ac:dyDescent="0.2">
      <c r="A61" s="1"/>
      <c r="B61" s="340"/>
      <c r="C61" s="9"/>
      <c r="D61" s="165"/>
      <c r="E61" s="16"/>
      <c r="F61" s="17"/>
      <c r="G61" s="14"/>
      <c r="H61" s="14"/>
      <c r="I61" s="1"/>
      <c r="J61" s="5"/>
      <c r="L61" s="461">
        <v>62</v>
      </c>
    </row>
    <row r="62" spans="1:13" s="3" customFormat="1" ht="20.25" customHeight="1" x14ac:dyDescent="0.2">
      <c r="A62" s="1"/>
      <c r="B62" s="341"/>
      <c r="C62" s="342" t="s">
        <v>251</v>
      </c>
      <c r="D62" s="343" t="s">
        <v>252</v>
      </c>
      <c r="E62" s="344"/>
      <c r="F62" s="345"/>
      <c r="G62" s="346"/>
      <c r="H62" s="346"/>
      <c r="I62" s="1"/>
      <c r="J62" s="5"/>
      <c r="L62" s="460">
        <v>63</v>
      </c>
    </row>
    <row r="63" spans="1:13" s="353" customFormat="1" ht="20.25" customHeight="1" x14ac:dyDescent="0.2">
      <c r="A63" s="1"/>
      <c r="B63" s="331">
        <f>COUNTA($D$63:D63)</f>
        <v>1</v>
      </c>
      <c r="C63" s="347" t="s">
        <v>241</v>
      </c>
      <c r="D63" s="348">
        <v>1.25</v>
      </c>
      <c r="E63" s="349"/>
      <c r="F63" s="350"/>
      <c r="G63" s="351"/>
      <c r="H63" s="351"/>
      <c r="I63" s="1"/>
      <c r="J63" s="352"/>
      <c r="L63" s="461">
        <v>64</v>
      </c>
    </row>
    <row r="64" spans="1:13" s="353" customFormat="1" ht="20.25" customHeight="1" x14ac:dyDescent="0.2">
      <c r="A64" s="1"/>
      <c r="B64" s="331">
        <f>COUNTA($D$63:D64)</f>
        <v>2</v>
      </c>
      <c r="C64" s="347" t="s">
        <v>242</v>
      </c>
      <c r="D64" s="354">
        <v>1.1000000000000001</v>
      </c>
      <c r="E64" s="349"/>
      <c r="F64" s="350"/>
      <c r="G64" s="351"/>
      <c r="H64" s="351"/>
      <c r="I64" s="1"/>
      <c r="J64" s="352"/>
      <c r="L64" s="460">
        <v>65</v>
      </c>
    </row>
    <row r="65" spans="1:12" s="353" customFormat="1" ht="20.25" customHeight="1" x14ac:dyDescent="0.2">
      <c r="A65" s="1"/>
      <c r="B65" s="331">
        <f>COUNTA($D$63:D65)</f>
        <v>3</v>
      </c>
      <c r="C65" s="347" t="s">
        <v>261</v>
      </c>
      <c r="D65" s="354">
        <v>1.1000000000000001</v>
      </c>
      <c r="E65" s="349"/>
      <c r="F65" s="350"/>
      <c r="G65" s="351"/>
      <c r="H65" s="351"/>
      <c r="I65" s="1"/>
      <c r="J65" s="352"/>
      <c r="L65" s="461">
        <v>66</v>
      </c>
    </row>
    <row r="66" spans="1:12" s="353" customFormat="1" ht="20.25" customHeight="1" x14ac:dyDescent="0.2">
      <c r="A66" s="1"/>
      <c r="B66" s="331">
        <f>COUNTA($D$63:D66)</f>
        <v>4</v>
      </c>
      <c r="C66" s="355" t="s">
        <v>246</v>
      </c>
      <c r="D66" s="356">
        <v>1</v>
      </c>
      <c r="E66" s="349"/>
      <c r="F66" s="350"/>
      <c r="G66" s="351"/>
      <c r="H66" s="351"/>
      <c r="I66" s="1"/>
      <c r="J66" s="352"/>
      <c r="L66" s="460">
        <v>67</v>
      </c>
    </row>
    <row r="67" spans="1:12" s="353" customFormat="1" ht="20.25" customHeight="1" x14ac:dyDescent="0.2">
      <c r="A67" s="1"/>
      <c r="B67" s="331">
        <f>COUNTA($D$63:D67)</f>
        <v>5</v>
      </c>
      <c r="C67" s="355" t="s">
        <v>243</v>
      </c>
      <c r="D67" s="356">
        <v>1</v>
      </c>
      <c r="E67" s="349"/>
      <c r="F67" s="350"/>
      <c r="G67" s="351"/>
      <c r="H67" s="351"/>
      <c r="I67" s="1"/>
      <c r="J67" s="352"/>
      <c r="L67" s="461">
        <v>68</v>
      </c>
    </row>
    <row r="68" spans="1:12" s="353" customFormat="1" ht="20.25" customHeight="1" x14ac:dyDescent="0.2">
      <c r="A68" s="1"/>
      <c r="B68" s="331">
        <f>COUNTA($D$63:D68)</f>
        <v>6</v>
      </c>
      <c r="C68" s="355" t="s">
        <v>458</v>
      </c>
      <c r="D68" s="356">
        <v>1</v>
      </c>
      <c r="E68" s="349"/>
      <c r="F68" s="350"/>
      <c r="G68" s="351"/>
      <c r="H68" s="351"/>
      <c r="I68" s="1"/>
      <c r="J68" s="352"/>
      <c r="L68" s="460">
        <v>69</v>
      </c>
    </row>
    <row r="69" spans="1:12" s="353" customFormat="1" ht="20.25" customHeight="1" x14ac:dyDescent="0.2">
      <c r="A69" s="1"/>
      <c r="B69" s="331">
        <f>COUNTA($D$63:D69)</f>
        <v>7</v>
      </c>
      <c r="C69" s="355" t="s">
        <v>474</v>
      </c>
      <c r="D69" s="356">
        <v>1</v>
      </c>
      <c r="E69" s="349"/>
      <c r="F69" s="350"/>
      <c r="G69" s="351"/>
      <c r="H69" s="351"/>
      <c r="I69" s="1"/>
      <c r="J69" s="352"/>
      <c r="L69" s="461">
        <v>70</v>
      </c>
    </row>
    <row r="70" spans="1:12" s="353" customFormat="1" ht="20.25" customHeight="1" x14ac:dyDescent="0.2">
      <c r="A70" s="1"/>
      <c r="B70" s="331">
        <f>COUNTA($D$63:D70)</f>
        <v>8</v>
      </c>
      <c r="C70" s="355" t="s">
        <v>257</v>
      </c>
      <c r="D70" s="356">
        <v>1</v>
      </c>
      <c r="E70" s="349"/>
      <c r="F70" s="350"/>
      <c r="G70" s="351"/>
      <c r="H70" s="351"/>
      <c r="I70" s="1"/>
      <c r="J70" s="352"/>
      <c r="L70" s="460">
        <v>71</v>
      </c>
    </row>
    <row r="71" spans="1:12" s="353" customFormat="1" ht="20.25" customHeight="1" x14ac:dyDescent="0.2">
      <c r="A71" s="1"/>
      <c r="B71" s="331">
        <f>COUNTA($D$63:D71)</f>
        <v>9</v>
      </c>
      <c r="C71" s="355" t="s">
        <v>245</v>
      </c>
      <c r="D71" s="356">
        <v>1</v>
      </c>
      <c r="E71" s="349"/>
      <c r="F71" s="350"/>
      <c r="G71" s="351"/>
      <c r="H71" s="351"/>
      <c r="I71" s="1"/>
      <c r="J71" s="352"/>
      <c r="L71" s="461">
        <v>72</v>
      </c>
    </row>
    <row r="72" spans="1:12" s="353" customFormat="1" ht="20.25" customHeight="1" x14ac:dyDescent="0.2">
      <c r="A72" s="1"/>
      <c r="B72" s="331">
        <f>COUNTA($D$63:D72)</f>
        <v>10</v>
      </c>
      <c r="C72" s="355" t="s">
        <v>247</v>
      </c>
      <c r="D72" s="356">
        <v>1</v>
      </c>
      <c r="E72" s="349"/>
      <c r="F72" s="350"/>
      <c r="G72" s="351"/>
      <c r="H72" s="351"/>
      <c r="I72" s="1"/>
      <c r="J72" s="352"/>
      <c r="L72" s="460">
        <v>73</v>
      </c>
    </row>
    <row r="73" spans="1:12" s="353" customFormat="1" ht="20.25" customHeight="1" x14ac:dyDescent="0.2">
      <c r="A73" s="1"/>
      <c r="B73" s="331">
        <f>COUNTA($D$63:D73)</f>
        <v>11</v>
      </c>
      <c r="C73" s="355" t="s">
        <v>258</v>
      </c>
      <c r="D73" s="356">
        <v>1</v>
      </c>
      <c r="E73" s="349"/>
      <c r="F73" s="350"/>
      <c r="G73" s="351"/>
      <c r="H73" s="351"/>
      <c r="I73" s="1"/>
      <c r="J73" s="352"/>
      <c r="L73" s="461">
        <v>74</v>
      </c>
    </row>
    <row r="74" spans="1:12" s="353" customFormat="1" ht="20.25" customHeight="1" x14ac:dyDescent="0.2">
      <c r="A74" s="1"/>
      <c r="B74" s="331">
        <f>COUNTA($D$63:D74)</f>
        <v>12</v>
      </c>
      <c r="C74" s="355" t="s">
        <v>238</v>
      </c>
      <c r="D74" s="356">
        <v>1</v>
      </c>
      <c r="E74" s="349"/>
      <c r="F74" s="350"/>
      <c r="G74" s="351"/>
      <c r="H74" s="351"/>
      <c r="I74" s="1"/>
      <c r="J74" s="352"/>
      <c r="L74" s="460">
        <v>75</v>
      </c>
    </row>
    <row r="75" spans="1:12" s="353" customFormat="1" ht="20.25" customHeight="1" x14ac:dyDescent="0.2">
      <c r="A75" s="1"/>
      <c r="B75" s="331">
        <f>COUNTA($D$63:D75)</f>
        <v>13</v>
      </c>
      <c r="C75" s="355" t="s">
        <v>260</v>
      </c>
      <c r="D75" s="356">
        <v>1</v>
      </c>
      <c r="E75" s="349"/>
      <c r="F75" s="350"/>
      <c r="G75" s="351"/>
      <c r="H75" s="351"/>
      <c r="I75" s="1"/>
      <c r="J75" s="352"/>
      <c r="L75" s="461">
        <v>76</v>
      </c>
    </row>
    <row r="76" spans="1:12" s="353" customFormat="1" ht="20.25" customHeight="1" x14ac:dyDescent="0.2">
      <c r="A76" s="1"/>
      <c r="B76" s="331">
        <f>COUNTA($D$63:D76)</f>
        <v>14</v>
      </c>
      <c r="C76" s="355" t="s">
        <v>391</v>
      </c>
      <c r="D76" s="356">
        <v>1</v>
      </c>
      <c r="E76" s="349"/>
      <c r="F76" s="350"/>
      <c r="G76" s="351"/>
      <c r="H76" s="351"/>
      <c r="I76" s="1"/>
      <c r="J76" s="352"/>
      <c r="L76" s="460">
        <v>77</v>
      </c>
    </row>
    <row r="77" spans="1:12" s="353" customFormat="1" ht="20.25" customHeight="1" x14ac:dyDescent="0.2">
      <c r="A77" s="1"/>
      <c r="B77" s="331">
        <f>COUNTA($D$63:D77)</f>
        <v>15</v>
      </c>
      <c r="C77" s="355" t="s">
        <v>475</v>
      </c>
      <c r="D77" s="356">
        <v>1</v>
      </c>
      <c r="E77" s="349"/>
      <c r="F77" s="350"/>
      <c r="G77" s="351"/>
      <c r="H77" s="351"/>
      <c r="I77" s="1"/>
      <c r="J77" s="352"/>
      <c r="L77" s="461">
        <v>78</v>
      </c>
    </row>
    <row r="78" spans="1:12" s="353" customFormat="1" ht="20.25" customHeight="1" x14ac:dyDescent="0.2">
      <c r="A78" s="1"/>
      <c r="B78" s="331">
        <f>COUNTA($D$63:D78)</f>
        <v>16</v>
      </c>
      <c r="C78" s="357" t="s">
        <v>567</v>
      </c>
      <c r="D78" s="358">
        <v>0.8</v>
      </c>
      <c r="E78" s="349"/>
      <c r="F78" s="350"/>
      <c r="G78" s="351"/>
      <c r="H78" s="351"/>
      <c r="I78" s="1"/>
      <c r="J78" s="352"/>
      <c r="L78" s="460"/>
    </row>
    <row r="79" spans="1:12" s="353" customFormat="1" ht="20.25" customHeight="1" x14ac:dyDescent="0.2">
      <c r="A79" s="1"/>
      <c r="B79" s="331">
        <f>COUNTA($D$63:D79)</f>
        <v>17</v>
      </c>
      <c r="C79" s="357" t="s">
        <v>244</v>
      </c>
      <c r="D79" s="358">
        <v>0.8</v>
      </c>
      <c r="E79" s="349"/>
      <c r="F79" s="350"/>
      <c r="G79" s="351"/>
      <c r="H79" s="351"/>
      <c r="I79" s="1"/>
      <c r="J79" s="352"/>
      <c r="L79" s="460">
        <v>79</v>
      </c>
    </row>
    <row r="80" spans="1:12" s="353" customFormat="1" ht="20.25" customHeight="1" x14ac:dyDescent="0.2">
      <c r="A80" s="1"/>
      <c r="B80" s="331">
        <f>COUNTA($D$63:D80)</f>
        <v>18</v>
      </c>
      <c r="C80" s="357" t="s">
        <v>453</v>
      </c>
      <c r="D80" s="358">
        <v>0.8</v>
      </c>
      <c r="E80" s="349"/>
      <c r="F80" s="350"/>
      <c r="G80" s="351"/>
      <c r="H80" s="351"/>
      <c r="I80" s="1"/>
      <c r="J80" s="352"/>
      <c r="L80" s="461">
        <v>80</v>
      </c>
    </row>
    <row r="81" spans="1:12" s="353" customFormat="1" ht="20.25" customHeight="1" x14ac:dyDescent="0.2">
      <c r="A81" s="1"/>
      <c r="B81" s="331">
        <f>COUNTA($D$63:D81)</f>
        <v>19</v>
      </c>
      <c r="C81" s="357" t="s">
        <v>248</v>
      </c>
      <c r="D81" s="358">
        <v>0.8</v>
      </c>
      <c r="E81" s="349"/>
      <c r="F81" s="350"/>
      <c r="G81" s="351"/>
      <c r="H81" s="351"/>
      <c r="I81" s="1"/>
      <c r="J81" s="352"/>
      <c r="L81" s="460">
        <v>81</v>
      </c>
    </row>
    <row r="82" spans="1:12" s="353" customFormat="1" ht="20.25" customHeight="1" x14ac:dyDescent="0.2">
      <c r="A82" s="1"/>
      <c r="B82" s="331">
        <f>COUNTA($D$63:D82)</f>
        <v>20</v>
      </c>
      <c r="C82" s="357" t="s">
        <v>396</v>
      </c>
      <c r="D82" s="358">
        <v>0.8</v>
      </c>
      <c r="E82" s="349"/>
      <c r="F82" s="350"/>
      <c r="G82" s="351"/>
      <c r="H82" s="351"/>
      <c r="I82" s="1"/>
      <c r="J82" s="352"/>
      <c r="L82" s="461">
        <v>82</v>
      </c>
    </row>
    <row r="83" spans="1:12" s="353" customFormat="1" ht="20.25" customHeight="1" x14ac:dyDescent="0.2">
      <c r="A83" s="1"/>
      <c r="B83" s="331">
        <f>COUNTA($D$63:D83)</f>
        <v>21</v>
      </c>
      <c r="C83" s="357" t="s">
        <v>476</v>
      </c>
      <c r="D83" s="358">
        <v>0.8</v>
      </c>
      <c r="E83" s="349"/>
      <c r="F83" s="350"/>
      <c r="G83" s="351"/>
      <c r="H83" s="351"/>
      <c r="I83" s="1"/>
      <c r="J83" s="352"/>
      <c r="L83" s="460">
        <v>83</v>
      </c>
    </row>
    <row r="84" spans="1:12" s="353" customFormat="1" ht="20.25" customHeight="1" x14ac:dyDescent="0.2">
      <c r="A84" s="1"/>
      <c r="B84" s="331">
        <f>COUNTA($D$63:D84)</f>
        <v>22</v>
      </c>
      <c r="C84" s="357" t="s">
        <v>259</v>
      </c>
      <c r="D84" s="358">
        <v>0.8</v>
      </c>
      <c r="E84" s="349"/>
      <c r="F84" s="350"/>
      <c r="G84" s="351"/>
      <c r="H84" s="351"/>
      <c r="I84" s="1"/>
      <c r="J84" s="352"/>
      <c r="L84" s="461">
        <v>84</v>
      </c>
    </row>
    <row r="85" spans="1:12" s="353" customFormat="1" ht="20.25" customHeight="1" x14ac:dyDescent="0.2">
      <c r="A85" s="1"/>
      <c r="B85" s="331">
        <f>COUNTA($D$63:D85)</f>
        <v>23</v>
      </c>
      <c r="C85" s="357" t="s">
        <v>477</v>
      </c>
      <c r="D85" s="358">
        <v>0.8</v>
      </c>
      <c r="E85" s="349"/>
      <c r="F85" s="350"/>
      <c r="G85" s="351"/>
      <c r="H85" s="351"/>
      <c r="I85" s="1"/>
      <c r="J85" s="352"/>
      <c r="L85" s="460">
        <v>85</v>
      </c>
    </row>
    <row r="86" spans="1:12" s="353" customFormat="1" ht="20.25" customHeight="1" x14ac:dyDescent="0.2">
      <c r="A86" s="1"/>
      <c r="B86" s="331">
        <f>COUNTA($D$63:D86)</f>
        <v>24</v>
      </c>
      <c r="C86" s="357" t="s">
        <v>478</v>
      </c>
      <c r="D86" s="358">
        <v>0.8</v>
      </c>
      <c r="E86" s="349"/>
      <c r="F86" s="350"/>
      <c r="G86" s="351"/>
      <c r="H86" s="351"/>
      <c r="I86" s="1"/>
      <c r="J86" s="352"/>
      <c r="L86" s="461">
        <v>86</v>
      </c>
    </row>
    <row r="87" spans="1:12" s="353" customFormat="1" ht="20.25" customHeight="1" x14ac:dyDescent="0.2">
      <c r="A87" s="1"/>
      <c r="B87" s="331">
        <f>COUNTA($D$63:D87)</f>
        <v>25</v>
      </c>
      <c r="C87" s="357" t="s">
        <v>392</v>
      </c>
      <c r="D87" s="358">
        <v>0.8</v>
      </c>
      <c r="E87" s="349"/>
      <c r="F87" s="350"/>
      <c r="G87" s="351"/>
      <c r="H87" s="351"/>
      <c r="I87" s="1"/>
      <c r="J87" s="352"/>
      <c r="L87" s="460">
        <v>87</v>
      </c>
    </row>
    <row r="88" spans="1:12" s="353" customFormat="1" ht="20.25" customHeight="1" x14ac:dyDescent="0.2">
      <c r="A88" s="1"/>
      <c r="B88" s="331">
        <f>COUNTA($D$63:D88)</f>
        <v>26</v>
      </c>
      <c r="C88" s="357" t="s">
        <v>459</v>
      </c>
      <c r="D88" s="358">
        <v>0.8</v>
      </c>
      <c r="E88" s="349"/>
      <c r="F88" s="350"/>
      <c r="G88" s="351"/>
      <c r="H88" s="351"/>
      <c r="I88" s="1"/>
      <c r="J88" s="352"/>
      <c r="L88" s="461">
        <v>88</v>
      </c>
    </row>
    <row r="89" spans="1:12" s="353" customFormat="1" ht="20.25" customHeight="1" x14ac:dyDescent="0.2">
      <c r="A89" s="1"/>
      <c r="B89" s="331">
        <f>COUNTA($D$63:D89)</f>
        <v>27</v>
      </c>
      <c r="C89" s="359" t="s">
        <v>393</v>
      </c>
      <c r="D89" s="360">
        <v>0.6</v>
      </c>
      <c r="E89" s="349"/>
      <c r="F89" s="350"/>
      <c r="G89" s="351"/>
      <c r="H89" s="351"/>
      <c r="I89" s="1"/>
      <c r="J89" s="352"/>
      <c r="L89" s="460">
        <v>89</v>
      </c>
    </row>
    <row r="90" spans="1:12" s="353" customFormat="1" ht="20.25" customHeight="1" x14ac:dyDescent="0.2">
      <c r="A90" s="1"/>
      <c r="B90" s="331">
        <f>COUNTA($D$63:D90)</f>
        <v>28</v>
      </c>
      <c r="C90" s="359" t="s">
        <v>479</v>
      </c>
      <c r="D90" s="360">
        <v>0.6</v>
      </c>
      <c r="E90" s="349"/>
      <c r="F90" s="350"/>
      <c r="G90" s="351"/>
      <c r="H90" s="351"/>
      <c r="I90" s="1"/>
      <c r="J90" s="352"/>
      <c r="L90" s="461">
        <v>90</v>
      </c>
    </row>
    <row r="91" spans="1:12" s="353" customFormat="1" ht="20.25" customHeight="1" x14ac:dyDescent="0.2">
      <c r="A91" s="1"/>
      <c r="B91" s="331">
        <f>COUNTA($D$63:D91)</f>
        <v>29</v>
      </c>
      <c r="C91" s="359" t="s">
        <v>480</v>
      </c>
      <c r="D91" s="360">
        <v>0.6</v>
      </c>
      <c r="E91" s="349"/>
      <c r="F91" s="350"/>
      <c r="G91" s="351"/>
      <c r="H91" s="351"/>
      <c r="I91" s="1"/>
      <c r="J91" s="352"/>
      <c r="L91" s="460">
        <v>91</v>
      </c>
    </row>
    <row r="92" spans="1:12" s="353" customFormat="1" ht="20.25" customHeight="1" x14ac:dyDescent="0.2">
      <c r="A92" s="1"/>
      <c r="B92" s="331">
        <f>COUNTA($D$63:D92)</f>
        <v>30</v>
      </c>
      <c r="C92" s="359" t="s">
        <v>249</v>
      </c>
      <c r="D92" s="360">
        <v>0.6</v>
      </c>
      <c r="E92" s="349"/>
      <c r="F92" s="350"/>
      <c r="G92" s="351"/>
      <c r="H92" s="351"/>
      <c r="I92" s="1"/>
      <c r="J92" s="352"/>
      <c r="L92" s="461">
        <v>92</v>
      </c>
    </row>
    <row r="93" spans="1:12" s="353" customFormat="1" ht="20.25" customHeight="1" x14ac:dyDescent="0.2">
      <c r="A93" s="1"/>
      <c r="B93" s="331">
        <f>COUNTA($D$63:D93)</f>
        <v>31</v>
      </c>
      <c r="C93" s="361" t="s">
        <v>99</v>
      </c>
      <c r="D93" s="360">
        <v>0.6</v>
      </c>
      <c r="E93" s="349"/>
      <c r="F93" s="350"/>
      <c r="G93" s="351"/>
      <c r="H93" s="351"/>
      <c r="I93" s="1"/>
      <c r="J93" s="352"/>
      <c r="L93" s="460">
        <v>93</v>
      </c>
    </row>
    <row r="94" spans="1:12" s="353" customFormat="1" ht="20.25" customHeight="1" x14ac:dyDescent="0.2">
      <c r="A94" s="1"/>
      <c r="B94" s="331">
        <f>COUNTA($D$63:D94)</f>
        <v>32</v>
      </c>
      <c r="C94" s="359" t="s">
        <v>255</v>
      </c>
      <c r="D94" s="360">
        <v>0.6</v>
      </c>
      <c r="E94" s="349"/>
      <c r="F94" s="350"/>
      <c r="G94" s="351"/>
      <c r="H94" s="351"/>
      <c r="I94" s="1"/>
      <c r="J94" s="352"/>
      <c r="L94" s="461">
        <v>94</v>
      </c>
    </row>
    <row r="95" spans="1:12" s="353" customFormat="1" ht="20.25" customHeight="1" x14ac:dyDescent="0.2">
      <c r="A95" s="1"/>
      <c r="B95" s="331">
        <f>COUNTA($D$63:D95)</f>
        <v>33</v>
      </c>
      <c r="C95" s="359" t="s">
        <v>465</v>
      </c>
      <c r="D95" s="360">
        <v>0.6</v>
      </c>
      <c r="E95" s="349"/>
      <c r="F95" s="350"/>
      <c r="G95" s="351"/>
      <c r="H95" s="351"/>
      <c r="I95" s="1"/>
      <c r="J95" s="352"/>
      <c r="L95" s="460">
        <v>95</v>
      </c>
    </row>
    <row r="96" spans="1:12" s="353" customFormat="1" ht="20.25" customHeight="1" x14ac:dyDescent="0.2">
      <c r="A96" s="1"/>
      <c r="B96" s="331">
        <f>COUNTA($D$63:D96)</f>
        <v>34</v>
      </c>
      <c r="C96" s="359" t="s">
        <v>481</v>
      </c>
      <c r="D96" s="360">
        <v>0.6</v>
      </c>
      <c r="E96" s="349"/>
      <c r="F96" s="350"/>
      <c r="G96" s="351"/>
      <c r="H96" s="351"/>
      <c r="I96" s="1"/>
      <c r="J96" s="352"/>
      <c r="L96" s="461">
        <v>96</v>
      </c>
    </row>
    <row r="97" spans="1:12" s="353" customFormat="1" ht="20.25" customHeight="1" x14ac:dyDescent="0.2">
      <c r="A97" s="1"/>
      <c r="B97" s="331">
        <f>COUNTA($D$63:D97)</f>
        <v>35</v>
      </c>
      <c r="C97" s="359" t="s">
        <v>482</v>
      </c>
      <c r="D97" s="360">
        <v>0.6</v>
      </c>
      <c r="E97" s="349"/>
      <c r="F97" s="350"/>
      <c r="G97" s="351"/>
      <c r="H97" s="351"/>
      <c r="I97" s="1"/>
      <c r="J97" s="352"/>
      <c r="L97" s="460">
        <v>97</v>
      </c>
    </row>
    <row r="98" spans="1:12" s="353" customFormat="1" ht="20.25" customHeight="1" x14ac:dyDescent="0.2">
      <c r="A98" s="1"/>
      <c r="B98" s="331">
        <f>COUNTA($D$63:D98)</f>
        <v>36</v>
      </c>
      <c r="C98" s="359" t="s">
        <v>483</v>
      </c>
      <c r="D98" s="360">
        <v>0.6</v>
      </c>
      <c r="E98" s="349"/>
      <c r="F98" s="350"/>
      <c r="G98" s="351"/>
      <c r="H98" s="351"/>
      <c r="I98" s="1"/>
      <c r="J98" s="352"/>
      <c r="L98" s="461">
        <v>98</v>
      </c>
    </row>
    <row r="99" spans="1:12" s="353" customFormat="1" ht="20.25" customHeight="1" x14ac:dyDescent="0.2">
      <c r="A99" s="1"/>
      <c r="B99" s="331">
        <f>COUNTA($D$63:D99)</f>
        <v>37</v>
      </c>
      <c r="C99" s="362" t="s">
        <v>250</v>
      </c>
      <c r="D99" s="363">
        <v>0.4</v>
      </c>
      <c r="E99" s="349"/>
      <c r="F99" s="350"/>
      <c r="G99" s="351"/>
      <c r="H99" s="351"/>
      <c r="I99" s="1"/>
      <c r="J99" s="352"/>
      <c r="L99" s="460">
        <v>99</v>
      </c>
    </row>
    <row r="100" spans="1:12" s="353" customFormat="1" ht="20.25" customHeight="1" x14ac:dyDescent="0.2">
      <c r="A100" s="1"/>
      <c r="B100" s="331">
        <f>COUNTA($D$63:D100)</f>
        <v>38</v>
      </c>
      <c r="C100" s="362" t="s">
        <v>395</v>
      </c>
      <c r="D100" s="363">
        <v>0.4</v>
      </c>
      <c r="E100" s="349"/>
      <c r="F100" s="350"/>
      <c r="G100" s="351"/>
      <c r="H100" s="351"/>
      <c r="I100" s="1"/>
      <c r="J100" s="352"/>
      <c r="L100" s="461">
        <v>100</v>
      </c>
    </row>
    <row r="101" spans="1:12" s="353" customFormat="1" ht="20.25" customHeight="1" x14ac:dyDescent="0.2">
      <c r="A101" s="1"/>
      <c r="B101" s="331">
        <f>COUNTA($D$63:D101)</f>
        <v>39</v>
      </c>
      <c r="C101" s="362" t="s">
        <v>256</v>
      </c>
      <c r="D101" s="363">
        <v>0.4</v>
      </c>
      <c r="E101" s="349"/>
      <c r="F101" s="350"/>
      <c r="G101" s="351"/>
      <c r="H101" s="351"/>
      <c r="I101" s="1"/>
      <c r="J101" s="352"/>
      <c r="L101" s="460">
        <v>101</v>
      </c>
    </row>
    <row r="102" spans="1:12" s="353" customFormat="1" ht="20.25" customHeight="1" x14ac:dyDescent="0.2">
      <c r="A102" s="1"/>
      <c r="B102" s="331">
        <f>COUNTA($D$63:D102)</f>
        <v>40</v>
      </c>
      <c r="C102" s="362" t="s">
        <v>484</v>
      </c>
      <c r="D102" s="363">
        <v>0.4</v>
      </c>
      <c r="E102" s="349"/>
      <c r="F102" s="350"/>
      <c r="G102" s="351"/>
      <c r="H102" s="351"/>
      <c r="I102" s="1"/>
      <c r="J102" s="352"/>
      <c r="L102" s="461">
        <v>102</v>
      </c>
    </row>
    <row r="103" spans="1:12" s="353" customFormat="1" ht="20.25" customHeight="1" x14ac:dyDescent="0.2">
      <c r="A103" s="1"/>
      <c r="B103" s="331">
        <f>COUNTA($D$63:D103)</f>
        <v>41</v>
      </c>
      <c r="C103" s="362" t="s">
        <v>485</v>
      </c>
      <c r="D103" s="363">
        <v>0.4</v>
      </c>
      <c r="E103" s="349"/>
      <c r="F103" s="350"/>
      <c r="G103" s="351"/>
      <c r="H103" s="351"/>
      <c r="I103" s="1"/>
      <c r="J103" s="352"/>
      <c r="L103" s="460">
        <v>103</v>
      </c>
    </row>
    <row r="104" spans="1:12" s="353" customFormat="1" ht="20.25" customHeight="1" x14ac:dyDescent="0.2">
      <c r="A104" s="1"/>
      <c r="B104" s="331">
        <f>COUNTA($D$63:D104)</f>
        <v>42</v>
      </c>
      <c r="C104" s="362" t="s">
        <v>485</v>
      </c>
      <c r="D104" s="363">
        <v>0.4</v>
      </c>
      <c r="E104" s="349"/>
      <c r="F104" s="350"/>
      <c r="G104" s="351"/>
      <c r="H104" s="351"/>
      <c r="I104" s="1"/>
      <c r="J104" s="352"/>
      <c r="L104" s="461">
        <v>104</v>
      </c>
    </row>
    <row r="105" spans="1:12" s="353" customFormat="1" ht="20.25" customHeight="1" x14ac:dyDescent="0.2">
      <c r="A105" s="1"/>
      <c r="B105" s="331">
        <f>COUNTA($D$63:D105)</f>
        <v>43</v>
      </c>
      <c r="C105" s="362" t="s">
        <v>486</v>
      </c>
      <c r="D105" s="363">
        <v>0.4</v>
      </c>
      <c r="E105" s="349"/>
      <c r="F105" s="350"/>
      <c r="G105" s="351"/>
      <c r="H105" s="351"/>
      <c r="I105" s="1"/>
      <c r="J105" s="352"/>
      <c r="L105" s="460">
        <v>105</v>
      </c>
    </row>
    <row r="106" spans="1:12" s="353" customFormat="1" ht="20.25" customHeight="1" x14ac:dyDescent="0.2">
      <c r="A106" s="1"/>
      <c r="B106" s="331">
        <f>COUNTA($D$63:D106)</f>
        <v>44</v>
      </c>
      <c r="C106" s="362" t="s">
        <v>394</v>
      </c>
      <c r="D106" s="363">
        <v>0.4</v>
      </c>
      <c r="E106" s="349"/>
      <c r="F106" s="350"/>
      <c r="G106" s="351"/>
      <c r="H106" s="351"/>
      <c r="I106" s="1"/>
      <c r="J106" s="352"/>
      <c r="L106" s="461">
        <v>106</v>
      </c>
    </row>
    <row r="107" spans="1:12" s="353" customFormat="1" ht="20.25" customHeight="1" x14ac:dyDescent="0.2">
      <c r="A107" s="1"/>
      <c r="B107" s="331">
        <f>COUNTA($D$63:D107)</f>
        <v>45</v>
      </c>
      <c r="C107" s="364" t="s">
        <v>487</v>
      </c>
      <c r="D107" s="363">
        <v>0.4</v>
      </c>
      <c r="E107" s="349"/>
      <c r="F107" s="350"/>
      <c r="G107" s="351"/>
      <c r="H107" s="351"/>
      <c r="I107" s="1"/>
      <c r="J107" s="352"/>
      <c r="L107" s="460">
        <v>107</v>
      </c>
    </row>
    <row r="108" spans="1:12" s="353" customFormat="1" ht="20.25" customHeight="1" x14ac:dyDescent="0.2">
      <c r="A108" s="1"/>
      <c r="B108" s="331">
        <f>COUNTA($D$63:D108)</f>
        <v>46</v>
      </c>
      <c r="C108" s="364" t="s">
        <v>488</v>
      </c>
      <c r="D108" s="363">
        <v>0.4</v>
      </c>
      <c r="E108" s="349"/>
      <c r="F108" s="350"/>
      <c r="G108" s="351"/>
      <c r="H108" s="351"/>
      <c r="I108" s="1"/>
      <c r="J108" s="352"/>
      <c r="L108" s="461">
        <v>108</v>
      </c>
    </row>
    <row r="109" spans="1:12" s="353" customFormat="1" ht="20.25" customHeight="1" x14ac:dyDescent="0.2">
      <c r="A109" s="1"/>
      <c r="B109" s="331">
        <f>COUNTA($D$63:D109)</f>
        <v>46</v>
      </c>
      <c r="C109" s="365"/>
      <c r="D109" s="366"/>
      <c r="E109" s="349"/>
      <c r="F109" s="350"/>
      <c r="G109" s="351"/>
      <c r="H109" s="351"/>
      <c r="I109" s="1"/>
      <c r="J109" s="352"/>
      <c r="L109" s="460">
        <v>109</v>
      </c>
    </row>
    <row r="110" spans="1:12" s="353" customFormat="1" ht="20.25" customHeight="1" x14ac:dyDescent="0.2">
      <c r="A110" s="1"/>
      <c r="B110" s="331">
        <f>COUNTA($D$63:D110)</f>
        <v>46</v>
      </c>
      <c r="C110" s="365"/>
      <c r="D110" s="366"/>
      <c r="E110" s="349"/>
      <c r="F110" s="350"/>
      <c r="G110" s="351"/>
      <c r="H110" s="351"/>
      <c r="I110" s="1"/>
      <c r="J110" s="352"/>
      <c r="L110" s="461">
        <v>110</v>
      </c>
    </row>
    <row r="111" spans="1:12" s="3" customFormat="1" ht="20.25" customHeight="1" x14ac:dyDescent="0.2">
      <c r="A111" s="1"/>
      <c r="B111" s="367"/>
      <c r="C111" s="18"/>
      <c r="D111" s="19"/>
      <c r="E111" s="24"/>
      <c r="F111" s="24"/>
      <c r="G111" s="1"/>
      <c r="H111" s="1"/>
      <c r="I111" s="1"/>
      <c r="J111" s="5"/>
      <c r="L111" s="460">
        <v>111</v>
      </c>
    </row>
    <row r="112" spans="1:12" s="3" customFormat="1" ht="11.25" customHeight="1" x14ac:dyDescent="0.2">
      <c r="B112" s="368"/>
      <c r="D112" s="21"/>
      <c r="E112" s="25"/>
      <c r="F112" s="25"/>
      <c r="G112" s="12"/>
      <c r="J112" s="5"/>
      <c r="L112" s="461">
        <v>112</v>
      </c>
    </row>
    <row r="113" spans="1:12" s="3" customFormat="1" ht="11.25" customHeight="1" x14ac:dyDescent="0.2">
      <c r="B113" s="368"/>
      <c r="D113" s="21"/>
      <c r="E113" s="25"/>
      <c r="F113" s="25"/>
      <c r="G113" s="12"/>
      <c r="J113" s="5"/>
      <c r="L113" s="460">
        <v>113</v>
      </c>
    </row>
    <row r="114" spans="1:12" s="3" customFormat="1" ht="11.25" customHeight="1" x14ac:dyDescent="0.2">
      <c r="B114" s="368"/>
      <c r="D114" s="21"/>
      <c r="E114" s="25"/>
      <c r="F114" s="25"/>
      <c r="G114" s="12"/>
      <c r="J114" s="5"/>
      <c r="L114" s="461">
        <v>114</v>
      </c>
    </row>
    <row r="115" spans="1:12" s="3" customFormat="1" ht="11.25" customHeight="1" x14ac:dyDescent="0.2">
      <c r="B115" s="368"/>
      <c r="D115" s="21"/>
      <c r="E115" s="25"/>
      <c r="F115" s="25"/>
      <c r="G115" s="12"/>
      <c r="J115" s="5"/>
      <c r="L115" s="460">
        <v>115</v>
      </c>
    </row>
    <row r="116" spans="1:12" s="434" customFormat="1" ht="20.25" customHeight="1" x14ac:dyDescent="0.2">
      <c r="B116" s="435">
        <f>COUNTA($D$2:D116)</f>
        <v>107</v>
      </c>
      <c r="C116" s="436" t="s">
        <v>494</v>
      </c>
      <c r="D116" s="437" t="s">
        <v>181</v>
      </c>
      <c r="E116" s="438">
        <v>6.2</v>
      </c>
      <c r="F116" s="439">
        <v>0.36</v>
      </c>
      <c r="G116" s="440" t="str">
        <f t="shared" ref="G116:G123" si="2">IF(F116=0.36,"A3",IF(F116=0.34,"A2",IF(F116=0.33,"A1",IF(F116=0.31,"A0",IF(F116=0.2,"B",IF(F116=0.18,"C"))))))</f>
        <v>A3</v>
      </c>
      <c r="H116" s="440" t="str">
        <f t="shared" ref="H116:H123" si="3">IF(AND(G116="A3",E116=6.2),"A3.1",IF(AND(G116="A3",E116=5.75),"A3.2",IF(AND(G116="A2",E116=4.4),"A2.1",IF(AND(G116="A2",E116=4),"A2.2",IF(G116="C","Nhân viên","- - -")))))</f>
        <v>A3.1</v>
      </c>
      <c r="J116" s="441"/>
      <c r="L116" s="461">
        <v>116</v>
      </c>
    </row>
    <row r="117" spans="1:12" s="434" customFormat="1" ht="20.25" customHeight="1" x14ac:dyDescent="0.2">
      <c r="B117" s="435">
        <f>COUNTA($D$2:D117)</f>
        <v>108</v>
      </c>
      <c r="C117" s="436" t="s">
        <v>493</v>
      </c>
      <c r="D117" s="437" t="s">
        <v>230</v>
      </c>
      <c r="E117" s="438">
        <v>4.4000000000000004</v>
      </c>
      <c r="F117" s="439">
        <v>0.34</v>
      </c>
      <c r="G117" s="440" t="str">
        <f t="shared" si="2"/>
        <v>A2</v>
      </c>
      <c r="H117" s="440" t="str">
        <f t="shared" si="3"/>
        <v>A2.1</v>
      </c>
      <c r="J117" s="441"/>
      <c r="L117" s="460">
        <v>117</v>
      </c>
    </row>
    <row r="118" spans="1:12" s="434" customFormat="1" ht="20.25" customHeight="1" x14ac:dyDescent="0.2">
      <c r="B118" s="435">
        <f>COUNTA($D$2:D118)</f>
        <v>109</v>
      </c>
      <c r="C118" s="436" t="s">
        <v>492</v>
      </c>
      <c r="D118" s="437" t="s">
        <v>182</v>
      </c>
      <c r="E118" s="438">
        <v>2.34</v>
      </c>
      <c r="F118" s="439">
        <v>0.33</v>
      </c>
      <c r="G118" s="440" t="str">
        <f t="shared" si="2"/>
        <v>A1</v>
      </c>
      <c r="H118" s="440" t="str">
        <f t="shared" si="3"/>
        <v>- - -</v>
      </c>
      <c r="J118" s="441"/>
      <c r="L118" s="461">
        <v>118</v>
      </c>
    </row>
    <row r="119" spans="1:12" s="434" customFormat="1" ht="20.25" customHeight="1" x14ac:dyDescent="0.2">
      <c r="B119" s="435">
        <f>COUNTA($D$2:D119)</f>
        <v>110</v>
      </c>
      <c r="C119" s="436" t="s">
        <v>491</v>
      </c>
      <c r="D119" s="437" t="s">
        <v>183</v>
      </c>
      <c r="E119" s="438">
        <v>1.86</v>
      </c>
      <c r="F119" s="439">
        <v>0.2</v>
      </c>
      <c r="G119" s="440" t="str">
        <f t="shared" si="2"/>
        <v>B</v>
      </c>
      <c r="H119" s="440" t="str">
        <f t="shared" si="3"/>
        <v>- - -</v>
      </c>
      <c r="J119" s="441"/>
      <c r="L119" s="460">
        <v>119</v>
      </c>
    </row>
    <row r="120" spans="1:12" s="450" customFormat="1" ht="20.25" customHeight="1" x14ac:dyDescent="0.2">
      <c r="A120" s="442"/>
      <c r="B120" s="443">
        <f>COUNTA($D$2:D120)</f>
        <v>111</v>
      </c>
      <c r="C120" s="444" t="s">
        <v>184</v>
      </c>
      <c r="D120" s="445" t="s">
        <v>185</v>
      </c>
      <c r="E120" s="446">
        <v>6.2</v>
      </c>
      <c r="F120" s="447">
        <v>0.36</v>
      </c>
      <c r="G120" s="448" t="str">
        <f t="shared" si="2"/>
        <v>A3</v>
      </c>
      <c r="H120" s="448" t="str">
        <f t="shared" si="3"/>
        <v>A3.1</v>
      </c>
      <c r="I120" s="442"/>
      <c r="J120" s="449"/>
      <c r="L120" s="461">
        <v>120</v>
      </c>
    </row>
    <row r="121" spans="1:12" s="434" customFormat="1" ht="20.25" customHeight="1" x14ac:dyDescent="0.2">
      <c r="B121" s="435">
        <f>COUNTA($D$2:D121)</f>
        <v>112</v>
      </c>
      <c r="C121" s="436" t="s">
        <v>2</v>
      </c>
      <c r="D121" s="437" t="s">
        <v>187</v>
      </c>
      <c r="E121" s="438">
        <v>2.34</v>
      </c>
      <c r="F121" s="439">
        <v>0.33</v>
      </c>
      <c r="G121" s="440" t="str">
        <f t="shared" si="2"/>
        <v>A1</v>
      </c>
      <c r="H121" s="440" t="str">
        <f t="shared" si="3"/>
        <v>- - -</v>
      </c>
      <c r="J121" s="441"/>
      <c r="L121" s="460">
        <v>121</v>
      </c>
    </row>
    <row r="122" spans="1:12" s="451" customFormat="1" ht="20.25" customHeight="1" x14ac:dyDescent="0.2">
      <c r="B122" s="452">
        <f>COUNTA($D$2:D122)</f>
        <v>113</v>
      </c>
      <c r="C122" s="453" t="s">
        <v>62</v>
      </c>
      <c r="D122" s="454" t="s">
        <v>65</v>
      </c>
      <c r="E122" s="455">
        <v>6.2</v>
      </c>
      <c r="F122" s="456">
        <v>0.36</v>
      </c>
      <c r="G122" s="457" t="str">
        <f t="shared" si="2"/>
        <v>A3</v>
      </c>
      <c r="H122" s="457" t="str">
        <f t="shared" si="3"/>
        <v>A3.1</v>
      </c>
      <c r="J122" s="458"/>
      <c r="L122" s="461">
        <v>122</v>
      </c>
    </row>
    <row r="123" spans="1:12" s="451" customFormat="1" ht="20.25" customHeight="1" x14ac:dyDescent="0.2">
      <c r="B123" s="452">
        <f>COUNTA($D$2:D123)</f>
        <v>114</v>
      </c>
      <c r="C123" s="453" t="s">
        <v>63</v>
      </c>
      <c r="D123" s="454" t="s">
        <v>66</v>
      </c>
      <c r="E123" s="455">
        <v>2.34</v>
      </c>
      <c r="F123" s="456">
        <v>0.33</v>
      </c>
      <c r="G123" s="457" t="str">
        <f t="shared" si="2"/>
        <v>A1</v>
      </c>
      <c r="H123" s="457" t="str">
        <f t="shared" si="3"/>
        <v>- - -</v>
      </c>
      <c r="J123" s="458"/>
      <c r="L123" s="460">
        <v>123</v>
      </c>
    </row>
    <row r="124" spans="1:12" s="3" customFormat="1" ht="11.25" customHeight="1" x14ac:dyDescent="0.2">
      <c r="B124" s="368"/>
      <c r="D124" s="21"/>
      <c r="E124" s="25"/>
      <c r="F124" s="25"/>
      <c r="G124" s="12"/>
      <c r="J124" s="5"/>
      <c r="L124" s="461"/>
    </row>
    <row r="125" spans="1:12" s="434" customFormat="1" ht="20.25" customHeight="1" x14ac:dyDescent="0.2">
      <c r="B125" s="435">
        <f>COUNTA($D$2:D125)</f>
        <v>115</v>
      </c>
      <c r="C125" s="436" t="s">
        <v>15</v>
      </c>
      <c r="D125" s="437" t="s">
        <v>177</v>
      </c>
      <c r="E125" s="438">
        <v>4</v>
      </c>
      <c r="F125" s="439">
        <v>0.34</v>
      </c>
      <c r="G125" s="440" t="str">
        <f>IF(F125=0.36,"A3",IF(F125=0.34,"A2",IF(F125=0.33,"A1",IF(F125=0.31,"A0",IF(F125=0.2,"B",IF(F125=0.18,"C"))))))</f>
        <v>A2</v>
      </c>
      <c r="H125" s="440" t="str">
        <f>IF(AND(G125="A3",E125=6.2),"A3.1",IF(AND(G125="A3",E125=5.75),"A3.2",IF(AND(G125="A2",E125=4.4),"A2.1",IF(AND(G125="A2",E125=4),"A2.2",IF(G125="C","Nhân viên","- - -")))))</f>
        <v>A2.2</v>
      </c>
      <c r="J125" s="441"/>
      <c r="L125" s="463">
        <v>25</v>
      </c>
    </row>
    <row r="126" spans="1:12" s="434" customFormat="1" ht="20.25" customHeight="1" x14ac:dyDescent="0.2">
      <c r="B126" s="435">
        <f>COUNTA($D$2:D126)</f>
        <v>116</v>
      </c>
      <c r="C126" s="436" t="s">
        <v>371</v>
      </c>
      <c r="D126" s="437" t="s">
        <v>178</v>
      </c>
      <c r="E126" s="438">
        <v>2.34</v>
      </c>
      <c r="F126" s="439">
        <v>0.33</v>
      </c>
      <c r="G126" s="440" t="str">
        <f>IF(F126=0.36,"A3",IF(F126=0.34,"A2",IF(F126=0.33,"A1",IF(F126=0.31,"A0",IF(F126=0.2,"B",IF(F126=0.18,"C"))))))</f>
        <v>A1</v>
      </c>
      <c r="H126" s="440" t="str">
        <f>IF(AND(G126="A3",E126=6.2),"A3.1",IF(AND(G126="A3",E126=5.75),"A3.2",IF(AND(G126="A2",E126=4.4),"A2.1",IF(AND(G126="A2",E126=4),"A2.2",IF(G126="C","Nhân viên","- - -")))))</f>
        <v>- - -</v>
      </c>
      <c r="J126" s="441"/>
      <c r="L126" s="464">
        <v>26</v>
      </c>
    </row>
    <row r="127" spans="1:12" s="434" customFormat="1" ht="20.25" customHeight="1" x14ac:dyDescent="0.2">
      <c r="B127" s="435">
        <f>COUNTA($D$2:D127)</f>
        <v>117</v>
      </c>
      <c r="C127" s="436" t="s">
        <v>67</v>
      </c>
      <c r="D127" s="437" t="s">
        <v>180</v>
      </c>
      <c r="E127" s="438">
        <v>1.86</v>
      </c>
      <c r="F127" s="439">
        <v>0.2</v>
      </c>
      <c r="G127" s="440" t="str">
        <f>IF(F127=0.36,"A3",IF(F127=0.34,"A2",IF(F127=0.33,"A1",IF(F127=0.31,"A0",IF(F127=0.2,"B",IF(F127=0.18,"C"))))))</f>
        <v>B</v>
      </c>
      <c r="H127" s="440" t="str">
        <f>IF(AND(G127="A3",E127=6.2),"A3.1",IF(AND(G127="A3",E127=5.75),"A3.2",IF(AND(G127="A2",E127=4.4),"A2.1",IF(AND(G127="A2",E127=4),"A2.2",IF(G127="C","Nhân viên","- - -")))))</f>
        <v>- - -</v>
      </c>
      <c r="J127" s="441"/>
      <c r="L127" s="464">
        <v>28</v>
      </c>
    </row>
    <row r="128" spans="1:12" s="3" customFormat="1" ht="11.25" customHeight="1" x14ac:dyDescent="0.2">
      <c r="B128" s="368"/>
      <c r="D128" s="21"/>
      <c r="E128" s="25"/>
      <c r="F128" s="25"/>
      <c r="G128" s="12"/>
      <c r="J128" s="5"/>
      <c r="L128" s="461"/>
    </row>
    <row r="129" spans="2:12" s="3" customFormat="1" ht="11.25" customHeight="1" x14ac:dyDescent="0.2">
      <c r="B129" s="368"/>
      <c r="D129" s="21"/>
      <c r="E129" s="25"/>
      <c r="F129" s="25"/>
      <c r="G129" s="12"/>
      <c r="J129" s="5"/>
      <c r="L129" s="461"/>
    </row>
    <row r="130" spans="2:12" s="3" customFormat="1" ht="11.25" customHeight="1" x14ac:dyDescent="0.2">
      <c r="B130" s="368"/>
      <c r="D130" s="21"/>
      <c r="E130" s="25"/>
      <c r="F130" s="25"/>
      <c r="G130" s="12"/>
      <c r="J130" s="5"/>
      <c r="L130" s="461"/>
    </row>
    <row r="131" spans="2:12" s="3" customFormat="1" ht="11.25" customHeight="1" x14ac:dyDescent="0.2">
      <c r="B131" s="368"/>
      <c r="D131" s="21"/>
      <c r="E131" s="25"/>
      <c r="F131" s="25"/>
      <c r="G131" s="12"/>
      <c r="J131" s="5"/>
      <c r="L131" s="461"/>
    </row>
    <row r="132" spans="2:12" s="3" customFormat="1" ht="11.25" customHeight="1" x14ac:dyDescent="0.2">
      <c r="B132" s="368"/>
      <c r="D132" s="21"/>
      <c r="E132" s="25"/>
      <c r="F132" s="25"/>
      <c r="G132" s="12"/>
      <c r="J132" s="5"/>
      <c r="L132" s="461"/>
    </row>
    <row r="133" spans="2:12" s="3" customFormat="1" ht="11.25" customHeight="1" x14ac:dyDescent="0.2">
      <c r="B133" s="368"/>
      <c r="D133" s="21"/>
      <c r="E133" s="25"/>
      <c r="F133" s="25"/>
      <c r="G133" s="12"/>
      <c r="J133" s="5"/>
      <c r="L133" s="461"/>
    </row>
    <row r="134" spans="2:12" s="3" customFormat="1" ht="11.25" customHeight="1" x14ac:dyDescent="0.2">
      <c r="B134" s="368"/>
      <c r="D134" s="21"/>
      <c r="E134" s="25"/>
      <c r="F134" s="25"/>
      <c r="G134" s="12"/>
      <c r="J134" s="5"/>
      <c r="L134" s="461"/>
    </row>
    <row r="135" spans="2:12" s="3" customFormat="1" ht="11.25" customHeight="1" x14ac:dyDescent="0.2">
      <c r="B135" s="368"/>
      <c r="D135" s="21"/>
      <c r="E135" s="25"/>
      <c r="F135" s="25"/>
      <c r="G135" s="12"/>
      <c r="J135" s="5"/>
      <c r="L135" s="461"/>
    </row>
    <row r="136" spans="2:12" s="3" customFormat="1" ht="11.25" customHeight="1" x14ac:dyDescent="0.2">
      <c r="B136" s="368"/>
      <c r="D136" s="21"/>
      <c r="E136" s="25"/>
      <c r="F136" s="25"/>
      <c r="G136" s="12"/>
      <c r="J136" s="5"/>
      <c r="L136" s="461"/>
    </row>
    <row r="137" spans="2:12" s="3" customFormat="1" ht="11.25" customHeight="1" x14ac:dyDescent="0.2">
      <c r="B137" s="368"/>
      <c r="D137" s="21"/>
      <c r="E137" s="25"/>
      <c r="F137" s="25"/>
      <c r="G137" s="12"/>
      <c r="J137" s="5"/>
      <c r="L137" s="461"/>
    </row>
    <row r="138" spans="2:12" s="3" customFormat="1" ht="11.25" customHeight="1" x14ac:dyDescent="0.2">
      <c r="B138" s="368"/>
      <c r="D138" s="21"/>
      <c r="E138" s="25"/>
      <c r="F138" s="25"/>
      <c r="G138" s="12"/>
      <c r="J138" s="5"/>
      <c r="L138" s="461"/>
    </row>
    <row r="139" spans="2:12" s="3" customFormat="1" ht="11.25" customHeight="1" x14ac:dyDescent="0.2">
      <c r="B139" s="368"/>
      <c r="D139" s="21"/>
      <c r="E139" s="25"/>
      <c r="F139" s="25"/>
      <c r="G139" s="12"/>
      <c r="J139" s="5"/>
      <c r="L139" s="461"/>
    </row>
    <row r="140" spans="2:12" s="3" customFormat="1" ht="11.25" customHeight="1" x14ac:dyDescent="0.2">
      <c r="B140" s="368"/>
      <c r="D140" s="21"/>
      <c r="E140" s="25"/>
      <c r="F140" s="25"/>
      <c r="G140" s="12"/>
      <c r="J140" s="5"/>
      <c r="L140" s="461"/>
    </row>
    <row r="141" spans="2:12" s="3" customFormat="1" ht="11.25" customHeight="1" x14ac:dyDescent="0.2">
      <c r="B141" s="368"/>
      <c r="D141" s="21"/>
      <c r="E141" s="25"/>
      <c r="F141" s="25"/>
      <c r="G141" s="12"/>
      <c r="J141" s="5"/>
      <c r="L141" s="461"/>
    </row>
    <row r="142" spans="2:12" s="3" customFormat="1" ht="11.25" customHeight="1" x14ac:dyDescent="0.2">
      <c r="B142" s="368"/>
      <c r="D142" s="21"/>
      <c r="E142" s="25"/>
      <c r="F142" s="25"/>
      <c r="G142" s="12"/>
      <c r="J142" s="5"/>
      <c r="L142" s="461"/>
    </row>
    <row r="143" spans="2:12" s="3" customFormat="1" ht="11.25" customHeight="1" x14ac:dyDescent="0.2">
      <c r="B143" s="368"/>
      <c r="D143" s="21"/>
      <c r="E143" s="25"/>
      <c r="F143" s="25"/>
      <c r="G143" s="12"/>
      <c r="J143" s="5"/>
      <c r="L143" s="461"/>
    </row>
    <row r="144" spans="2:12" s="3" customFormat="1" ht="11.25" customHeight="1" x14ac:dyDescent="0.2">
      <c r="B144" s="368"/>
      <c r="D144" s="21"/>
      <c r="E144" s="25"/>
      <c r="F144" s="25"/>
      <c r="G144" s="12"/>
      <c r="J144" s="5"/>
      <c r="L144" s="461"/>
    </row>
    <row r="145" spans="2:12" s="3" customFormat="1" ht="11.25" customHeight="1" x14ac:dyDescent="0.2">
      <c r="B145" s="368"/>
      <c r="D145" s="21"/>
      <c r="E145" s="25"/>
      <c r="F145" s="25"/>
      <c r="G145" s="12"/>
      <c r="J145" s="5"/>
      <c r="L145" s="461"/>
    </row>
    <row r="146" spans="2:12" s="3" customFormat="1" ht="11.25" customHeight="1" x14ac:dyDescent="0.2">
      <c r="B146" s="368"/>
      <c r="D146" s="21"/>
      <c r="E146" s="25"/>
      <c r="F146" s="25"/>
      <c r="G146" s="12"/>
      <c r="J146" s="5"/>
      <c r="L146" s="461"/>
    </row>
    <row r="147" spans="2:12" s="3" customFormat="1" ht="11.25" customHeight="1" x14ac:dyDescent="0.2">
      <c r="B147" s="368"/>
      <c r="D147" s="21"/>
      <c r="E147" s="25"/>
      <c r="F147" s="25"/>
      <c r="G147" s="12"/>
      <c r="J147" s="5"/>
      <c r="L147" s="461"/>
    </row>
    <row r="148" spans="2:12" s="3" customFormat="1" ht="11.25" customHeight="1" x14ac:dyDescent="0.2">
      <c r="B148" s="368"/>
      <c r="D148" s="21"/>
      <c r="E148" s="25"/>
      <c r="F148" s="25"/>
      <c r="G148" s="12"/>
      <c r="J148" s="5"/>
      <c r="L148" s="461"/>
    </row>
    <row r="149" spans="2:12" s="3" customFormat="1" ht="11.25" customHeight="1" x14ac:dyDescent="0.2">
      <c r="B149" s="368"/>
      <c r="D149" s="21"/>
      <c r="E149" s="25"/>
      <c r="F149" s="25"/>
      <c r="G149" s="12"/>
      <c r="J149" s="5"/>
      <c r="L149" s="461"/>
    </row>
    <row r="150" spans="2:12" s="3" customFormat="1" ht="11.25" customHeight="1" x14ac:dyDescent="0.2">
      <c r="B150" s="368"/>
      <c r="D150" s="21"/>
      <c r="E150" s="25"/>
      <c r="F150" s="25"/>
      <c r="G150" s="12"/>
      <c r="J150" s="5"/>
      <c r="L150" s="461"/>
    </row>
    <row r="151" spans="2:12" s="3" customFormat="1" ht="11.25" customHeight="1" x14ac:dyDescent="0.2">
      <c r="B151" s="368"/>
      <c r="D151" s="21"/>
      <c r="E151" s="25"/>
      <c r="F151" s="25"/>
      <c r="G151" s="12"/>
      <c r="J151" s="5"/>
      <c r="L151" s="461"/>
    </row>
    <row r="152" spans="2:12" s="3" customFormat="1" ht="11.25" customHeight="1" x14ac:dyDescent="0.2">
      <c r="B152" s="368"/>
      <c r="D152" s="21"/>
      <c r="E152" s="25"/>
      <c r="F152" s="25"/>
      <c r="G152" s="12"/>
      <c r="J152" s="5"/>
      <c r="L152" s="461"/>
    </row>
    <row r="153" spans="2:12" s="3" customFormat="1" ht="11.25" customHeight="1" x14ac:dyDescent="0.2">
      <c r="B153" s="368"/>
      <c r="D153" s="21"/>
      <c r="E153" s="25"/>
      <c r="F153" s="25"/>
      <c r="G153" s="12"/>
      <c r="J153" s="5"/>
      <c r="L153" s="461"/>
    </row>
    <row r="154" spans="2:12" s="3" customFormat="1" ht="11.25" customHeight="1" x14ac:dyDescent="0.2">
      <c r="B154" s="368"/>
      <c r="D154" s="21"/>
      <c r="E154" s="25"/>
      <c r="F154" s="25"/>
      <c r="G154" s="12"/>
      <c r="J154" s="5"/>
      <c r="L154" s="461"/>
    </row>
    <row r="155" spans="2:12" s="3" customFormat="1" ht="11.25" customHeight="1" x14ac:dyDescent="0.2">
      <c r="B155" s="368"/>
      <c r="D155" s="21"/>
      <c r="E155" s="25"/>
      <c r="F155" s="25"/>
      <c r="G155" s="12"/>
      <c r="J155" s="5"/>
      <c r="L155" s="461"/>
    </row>
    <row r="156" spans="2:12" s="3" customFormat="1" ht="11.25" customHeight="1" x14ac:dyDescent="0.2">
      <c r="B156" s="368"/>
      <c r="D156" s="21"/>
      <c r="E156" s="25"/>
      <c r="F156" s="25"/>
      <c r="G156" s="12"/>
      <c r="J156" s="5"/>
      <c r="L156" s="461"/>
    </row>
    <row r="157" spans="2:12" s="3" customFormat="1" ht="11.25" customHeight="1" x14ac:dyDescent="0.2">
      <c r="B157" s="368"/>
      <c r="D157" s="21"/>
      <c r="E157" s="25"/>
      <c r="F157" s="25"/>
      <c r="G157" s="12"/>
      <c r="J157" s="5"/>
      <c r="L157" s="461"/>
    </row>
    <row r="158" spans="2:12" s="3" customFormat="1" ht="11.25" customHeight="1" x14ac:dyDescent="0.2">
      <c r="B158" s="368"/>
      <c r="D158" s="21"/>
      <c r="E158" s="25"/>
      <c r="F158" s="25"/>
      <c r="G158" s="12"/>
      <c r="J158" s="5"/>
      <c r="L158" s="461"/>
    </row>
    <row r="159" spans="2:12" s="3" customFormat="1" ht="11.25" customHeight="1" x14ac:dyDescent="0.2">
      <c r="B159" s="368"/>
      <c r="D159" s="21"/>
      <c r="E159" s="25"/>
      <c r="F159" s="25"/>
      <c r="G159" s="12"/>
      <c r="J159" s="5"/>
      <c r="L159" s="461"/>
    </row>
    <row r="160" spans="2:12" s="3" customFormat="1" ht="11.25" customHeight="1" x14ac:dyDescent="0.2">
      <c r="B160" s="368"/>
      <c r="D160" s="21"/>
      <c r="E160" s="25"/>
      <c r="F160" s="25"/>
      <c r="G160" s="12"/>
      <c r="J160" s="5"/>
      <c r="L160" s="461"/>
    </row>
    <row r="161" spans="2:12" s="3" customFormat="1" ht="11.25" customHeight="1" x14ac:dyDescent="0.2">
      <c r="B161" s="368"/>
      <c r="D161" s="21"/>
      <c r="E161" s="25"/>
      <c r="F161" s="25"/>
      <c r="G161" s="12"/>
      <c r="J161" s="5"/>
      <c r="L161" s="461"/>
    </row>
    <row r="162" spans="2:12" s="3" customFormat="1" ht="11.25" customHeight="1" x14ac:dyDescent="0.2">
      <c r="B162" s="368"/>
      <c r="D162" s="21"/>
      <c r="E162" s="25"/>
      <c r="F162" s="25"/>
      <c r="G162" s="12"/>
      <c r="J162" s="5"/>
      <c r="L162" s="461"/>
    </row>
    <row r="163" spans="2:12" s="3" customFormat="1" ht="11.25" customHeight="1" x14ac:dyDescent="0.2">
      <c r="B163" s="368"/>
      <c r="D163" s="21"/>
      <c r="E163" s="25"/>
      <c r="F163" s="25"/>
      <c r="G163" s="12"/>
      <c r="J163" s="5"/>
      <c r="L163" s="461"/>
    </row>
    <row r="164" spans="2:12" s="3" customFormat="1" ht="11.25" customHeight="1" x14ac:dyDescent="0.2">
      <c r="B164" s="368"/>
      <c r="D164" s="21"/>
      <c r="E164" s="25"/>
      <c r="F164" s="25"/>
      <c r="G164" s="12"/>
      <c r="J164" s="5"/>
      <c r="L164" s="461"/>
    </row>
    <row r="165" spans="2:12" s="3" customFormat="1" ht="11.25" customHeight="1" x14ac:dyDescent="0.2">
      <c r="B165" s="368"/>
      <c r="D165" s="21"/>
      <c r="E165" s="25"/>
      <c r="F165" s="25"/>
      <c r="G165" s="12"/>
      <c r="J165" s="5"/>
      <c r="L165" s="461"/>
    </row>
    <row r="166" spans="2:12" s="3" customFormat="1" ht="11.25" customHeight="1" x14ac:dyDescent="0.2">
      <c r="B166" s="368"/>
      <c r="D166" s="21"/>
      <c r="E166" s="25"/>
      <c r="F166" s="25"/>
      <c r="G166" s="12"/>
      <c r="J166" s="5"/>
      <c r="L166" s="461"/>
    </row>
    <row r="167" spans="2:12" s="3" customFormat="1" ht="11.25" customHeight="1" x14ac:dyDescent="0.2">
      <c r="B167" s="368"/>
      <c r="D167" s="21"/>
      <c r="E167" s="25"/>
      <c r="F167" s="25"/>
      <c r="G167" s="12"/>
      <c r="J167" s="5"/>
      <c r="L167" s="461"/>
    </row>
    <row r="168" spans="2:12" s="3" customFormat="1" ht="11.25" customHeight="1" x14ac:dyDescent="0.2">
      <c r="B168" s="368"/>
      <c r="D168" s="21"/>
      <c r="E168" s="25"/>
      <c r="F168" s="25"/>
      <c r="G168" s="12"/>
      <c r="J168" s="5"/>
      <c r="L168" s="461"/>
    </row>
    <row r="169" spans="2:12" s="3" customFormat="1" ht="11.25" customHeight="1" x14ac:dyDescent="0.2">
      <c r="B169" s="368"/>
      <c r="D169" s="21"/>
      <c r="E169" s="25"/>
      <c r="F169" s="25"/>
      <c r="G169" s="12"/>
      <c r="J169" s="5"/>
      <c r="L169" s="461"/>
    </row>
    <row r="170" spans="2:12" s="3" customFormat="1" ht="11.25" customHeight="1" x14ac:dyDescent="0.2">
      <c r="B170" s="368"/>
      <c r="D170" s="21"/>
      <c r="E170" s="25"/>
      <c r="F170" s="25"/>
      <c r="G170" s="12"/>
      <c r="J170" s="5"/>
      <c r="L170" s="461"/>
    </row>
    <row r="171" spans="2:12" s="3" customFormat="1" ht="11.25" customHeight="1" x14ac:dyDescent="0.2">
      <c r="B171" s="368"/>
      <c r="D171" s="21"/>
      <c r="E171" s="25"/>
      <c r="F171" s="25"/>
      <c r="G171" s="12"/>
      <c r="J171" s="5"/>
      <c r="L171" s="461"/>
    </row>
    <row r="172" spans="2:12" s="3" customFormat="1" ht="11.25" customHeight="1" x14ac:dyDescent="0.2">
      <c r="B172" s="368"/>
      <c r="D172" s="21"/>
      <c r="E172" s="25"/>
      <c r="F172" s="25"/>
      <c r="G172" s="12"/>
      <c r="J172" s="5"/>
      <c r="L172" s="461"/>
    </row>
    <row r="173" spans="2:12" s="3" customFormat="1" ht="11.25" customHeight="1" x14ac:dyDescent="0.2">
      <c r="B173" s="368"/>
      <c r="D173" s="21"/>
      <c r="E173" s="25"/>
      <c r="F173" s="25"/>
      <c r="G173" s="12"/>
      <c r="J173" s="5"/>
      <c r="L173" s="461"/>
    </row>
    <row r="174" spans="2:12" s="3" customFormat="1" ht="11.25" customHeight="1" x14ac:dyDescent="0.2">
      <c r="B174" s="368"/>
      <c r="D174" s="21"/>
      <c r="E174" s="25"/>
      <c r="F174" s="25"/>
      <c r="G174" s="12"/>
      <c r="J174" s="5"/>
      <c r="L174" s="461"/>
    </row>
    <row r="175" spans="2:12" s="3" customFormat="1" ht="11.25" customHeight="1" x14ac:dyDescent="0.2">
      <c r="B175" s="368"/>
      <c r="D175" s="21"/>
      <c r="E175" s="25"/>
      <c r="F175" s="25"/>
      <c r="G175" s="12"/>
      <c r="J175" s="5"/>
      <c r="L175" s="461"/>
    </row>
    <row r="176" spans="2:12" s="3" customFormat="1" ht="11.25" customHeight="1" x14ac:dyDescent="0.2">
      <c r="B176" s="368"/>
      <c r="D176" s="21"/>
      <c r="E176" s="25"/>
      <c r="F176" s="25"/>
      <c r="G176" s="12"/>
      <c r="J176" s="5"/>
      <c r="L176" s="461"/>
    </row>
    <row r="177" spans="2:12" s="3" customFormat="1" ht="11.25" customHeight="1" x14ac:dyDescent="0.2">
      <c r="B177" s="368"/>
      <c r="D177" s="21"/>
      <c r="E177" s="25"/>
      <c r="F177" s="25"/>
      <c r="G177" s="12"/>
      <c r="J177" s="5"/>
      <c r="L177" s="461"/>
    </row>
    <row r="178" spans="2:12" s="3" customFormat="1" ht="11.25" customHeight="1" x14ac:dyDescent="0.2">
      <c r="B178" s="368"/>
      <c r="D178" s="21"/>
      <c r="E178" s="25"/>
      <c r="F178" s="25"/>
      <c r="G178" s="12"/>
      <c r="J178" s="5"/>
      <c r="L178" s="461"/>
    </row>
    <row r="179" spans="2:12" s="3" customFormat="1" ht="11.25" customHeight="1" x14ac:dyDescent="0.2">
      <c r="B179" s="368"/>
      <c r="D179" s="21"/>
      <c r="E179" s="25"/>
      <c r="F179" s="25"/>
      <c r="G179" s="12"/>
      <c r="J179" s="5"/>
      <c r="L179" s="461"/>
    </row>
    <row r="180" spans="2:12" s="3" customFormat="1" ht="11.25" customHeight="1" x14ac:dyDescent="0.2">
      <c r="B180" s="368"/>
      <c r="D180" s="21"/>
      <c r="E180" s="25"/>
      <c r="F180" s="25"/>
      <c r="G180" s="12"/>
      <c r="J180" s="5"/>
      <c r="L180" s="461"/>
    </row>
    <row r="181" spans="2:12" s="3" customFormat="1" ht="11.25" customHeight="1" x14ac:dyDescent="0.2">
      <c r="B181" s="368"/>
      <c r="D181" s="21"/>
      <c r="E181" s="25"/>
      <c r="F181" s="25"/>
      <c r="G181" s="12"/>
      <c r="J181" s="5"/>
      <c r="L181" s="461"/>
    </row>
    <row r="182" spans="2:12" s="3" customFormat="1" ht="11.25" customHeight="1" x14ac:dyDescent="0.2">
      <c r="B182" s="368"/>
      <c r="D182" s="21"/>
      <c r="E182" s="25"/>
      <c r="F182" s="25"/>
      <c r="G182" s="12"/>
      <c r="J182" s="5"/>
      <c r="L182" s="461"/>
    </row>
    <row r="183" spans="2:12" s="3" customFormat="1" ht="11.25" customHeight="1" x14ac:dyDescent="0.2">
      <c r="B183" s="368"/>
      <c r="D183" s="21"/>
      <c r="E183" s="25"/>
      <c r="F183" s="25"/>
      <c r="G183" s="12"/>
      <c r="J183" s="5"/>
      <c r="L183" s="461"/>
    </row>
    <row r="184" spans="2:12" s="3" customFormat="1" ht="11.25" customHeight="1" x14ac:dyDescent="0.2">
      <c r="B184" s="368"/>
      <c r="D184" s="21"/>
      <c r="E184" s="25"/>
      <c r="F184" s="25"/>
      <c r="G184" s="12"/>
      <c r="J184" s="5"/>
      <c r="L184" s="461"/>
    </row>
    <row r="185" spans="2:12" s="3" customFormat="1" ht="11.25" customHeight="1" x14ac:dyDescent="0.2">
      <c r="B185" s="368"/>
      <c r="D185" s="21"/>
      <c r="E185" s="25"/>
      <c r="F185" s="25"/>
      <c r="G185" s="12"/>
      <c r="J185" s="5"/>
      <c r="L185" s="461"/>
    </row>
    <row r="186" spans="2:12" s="3" customFormat="1" ht="11.25" customHeight="1" x14ac:dyDescent="0.2">
      <c r="B186" s="368"/>
      <c r="D186" s="21"/>
      <c r="E186" s="25"/>
      <c r="F186" s="25"/>
      <c r="G186" s="12"/>
      <c r="J186" s="5"/>
      <c r="L186" s="461"/>
    </row>
    <row r="187" spans="2:12" s="3" customFormat="1" ht="11.25" customHeight="1" x14ac:dyDescent="0.2">
      <c r="B187" s="368"/>
      <c r="D187" s="21"/>
      <c r="E187" s="25"/>
      <c r="F187" s="25"/>
      <c r="G187" s="12"/>
      <c r="J187" s="5"/>
      <c r="L187" s="461"/>
    </row>
    <row r="188" spans="2:12" s="3" customFormat="1" ht="11.25" customHeight="1" x14ac:dyDescent="0.2">
      <c r="B188" s="368"/>
      <c r="D188" s="21"/>
      <c r="E188" s="25"/>
      <c r="F188" s="25"/>
      <c r="G188" s="12"/>
      <c r="J188" s="5"/>
      <c r="L188" s="461"/>
    </row>
    <row r="189" spans="2:12" s="3" customFormat="1" ht="11.25" customHeight="1" x14ac:dyDescent="0.2">
      <c r="B189" s="368"/>
      <c r="D189" s="21"/>
      <c r="E189" s="25"/>
      <c r="F189" s="25"/>
      <c r="G189" s="12"/>
      <c r="J189" s="5"/>
      <c r="L189" s="461"/>
    </row>
    <row r="190" spans="2:12" s="3" customFormat="1" ht="11.25" customHeight="1" x14ac:dyDescent="0.2">
      <c r="B190" s="368"/>
      <c r="D190" s="21"/>
      <c r="E190" s="25"/>
      <c r="F190" s="25"/>
      <c r="G190" s="12"/>
      <c r="J190" s="5"/>
      <c r="L190" s="461"/>
    </row>
    <row r="191" spans="2:12" s="3" customFormat="1" ht="11.25" customHeight="1" x14ac:dyDescent="0.2">
      <c r="B191" s="368"/>
      <c r="D191" s="21"/>
      <c r="E191" s="25"/>
      <c r="F191" s="25"/>
      <c r="G191" s="12"/>
      <c r="J191" s="5"/>
      <c r="L191" s="461"/>
    </row>
    <row r="192" spans="2:12" s="3" customFormat="1" ht="11.25" customHeight="1" x14ac:dyDescent="0.2">
      <c r="B192" s="368"/>
      <c r="D192" s="21"/>
      <c r="E192" s="25"/>
      <c r="F192" s="25"/>
      <c r="G192" s="12"/>
      <c r="J192" s="5"/>
      <c r="L192" s="461"/>
    </row>
    <row r="193" spans="2:12" s="3" customFormat="1" ht="11.25" customHeight="1" x14ac:dyDescent="0.2">
      <c r="B193" s="368"/>
      <c r="D193" s="21"/>
      <c r="E193" s="25"/>
      <c r="F193" s="25"/>
      <c r="G193" s="12"/>
      <c r="J193" s="5"/>
      <c r="L193" s="461"/>
    </row>
    <row r="194" spans="2:12" s="3" customFormat="1" ht="11.25" customHeight="1" x14ac:dyDescent="0.2">
      <c r="B194" s="368"/>
      <c r="D194" s="21"/>
      <c r="E194" s="25"/>
      <c r="F194" s="25"/>
      <c r="G194" s="12"/>
      <c r="J194" s="5"/>
      <c r="L194" s="461"/>
    </row>
    <row r="195" spans="2:12" s="3" customFormat="1" ht="11.25" customHeight="1" x14ac:dyDescent="0.2">
      <c r="B195" s="368"/>
      <c r="D195" s="21"/>
      <c r="E195" s="25"/>
      <c r="F195" s="25"/>
      <c r="G195" s="12"/>
      <c r="J195" s="5"/>
      <c r="L195" s="461"/>
    </row>
    <row r="196" spans="2:12" s="3" customFormat="1" ht="11.25" customHeight="1" x14ac:dyDescent="0.2">
      <c r="B196" s="368"/>
      <c r="D196" s="21"/>
      <c r="E196" s="25"/>
      <c r="F196" s="25"/>
      <c r="G196" s="12"/>
      <c r="J196" s="5"/>
      <c r="L196" s="461"/>
    </row>
    <row r="197" spans="2:12" s="3" customFormat="1" ht="11.25" customHeight="1" x14ac:dyDescent="0.2">
      <c r="B197" s="368"/>
      <c r="D197" s="21"/>
      <c r="E197" s="25"/>
      <c r="F197" s="25"/>
      <c r="G197" s="12"/>
      <c r="J197" s="5"/>
      <c r="L197" s="461"/>
    </row>
    <row r="198" spans="2:12" s="3" customFormat="1" ht="11.25" customHeight="1" x14ac:dyDescent="0.2">
      <c r="B198" s="368"/>
      <c r="D198" s="21"/>
      <c r="E198" s="25"/>
      <c r="F198" s="25"/>
      <c r="G198" s="12"/>
      <c r="J198" s="5"/>
      <c r="L198" s="461"/>
    </row>
    <row r="199" spans="2:12" s="3" customFormat="1" ht="11.25" customHeight="1" x14ac:dyDescent="0.2">
      <c r="B199" s="368"/>
      <c r="D199" s="21"/>
      <c r="E199" s="25"/>
      <c r="F199" s="25"/>
      <c r="G199" s="12"/>
      <c r="J199" s="5"/>
      <c r="L199" s="461"/>
    </row>
    <row r="200" spans="2:12" s="3" customFormat="1" ht="11.25" customHeight="1" x14ac:dyDescent="0.2">
      <c r="B200" s="368"/>
      <c r="D200" s="21"/>
      <c r="E200" s="25"/>
      <c r="F200" s="25"/>
      <c r="G200" s="12"/>
      <c r="J200" s="5"/>
      <c r="L200" s="461"/>
    </row>
    <row r="201" spans="2:12" s="3" customFormat="1" ht="11.25" customHeight="1" x14ac:dyDescent="0.2">
      <c r="B201" s="368"/>
      <c r="D201" s="21"/>
      <c r="E201" s="25"/>
      <c r="F201" s="25"/>
      <c r="G201" s="12"/>
      <c r="J201" s="5"/>
      <c r="L201" s="461"/>
    </row>
    <row r="202" spans="2:12" s="3" customFormat="1" ht="11.25" customHeight="1" x14ac:dyDescent="0.2">
      <c r="B202" s="368"/>
      <c r="D202" s="21"/>
      <c r="E202" s="25"/>
      <c r="F202" s="25"/>
      <c r="G202" s="12"/>
      <c r="J202" s="5"/>
      <c r="L202" s="461"/>
    </row>
    <row r="203" spans="2:12" s="3" customFormat="1" ht="11.25" customHeight="1" x14ac:dyDescent="0.2">
      <c r="B203" s="368"/>
      <c r="D203" s="21"/>
      <c r="E203" s="25"/>
      <c r="F203" s="25"/>
      <c r="G203" s="12"/>
      <c r="J203" s="5"/>
      <c r="L203" s="461"/>
    </row>
    <row r="204" spans="2:12" s="3" customFormat="1" ht="11.25" customHeight="1" x14ac:dyDescent="0.2">
      <c r="B204" s="368"/>
      <c r="D204" s="21"/>
      <c r="E204" s="25"/>
      <c r="F204" s="25"/>
      <c r="G204" s="12"/>
      <c r="J204" s="5"/>
      <c r="L204" s="461"/>
    </row>
    <row r="205" spans="2:12" s="3" customFormat="1" ht="11.25" customHeight="1" x14ac:dyDescent="0.2">
      <c r="B205" s="368"/>
      <c r="D205" s="21"/>
      <c r="E205" s="25"/>
      <c r="F205" s="25"/>
      <c r="G205" s="12"/>
      <c r="J205" s="5"/>
      <c r="L205" s="461"/>
    </row>
    <row r="206" spans="2:12" s="3" customFormat="1" ht="11.25" customHeight="1" x14ac:dyDescent="0.2">
      <c r="B206" s="368"/>
      <c r="D206" s="21"/>
      <c r="E206" s="25"/>
      <c r="F206" s="25"/>
      <c r="G206" s="12"/>
      <c r="J206" s="5"/>
      <c r="L206" s="461"/>
    </row>
    <row r="207" spans="2:12" s="3" customFormat="1" ht="11.25" customHeight="1" x14ac:dyDescent="0.2">
      <c r="B207" s="368"/>
      <c r="D207" s="21"/>
      <c r="E207" s="25"/>
      <c r="F207" s="25"/>
      <c r="G207" s="12"/>
      <c r="J207" s="5"/>
      <c r="L207" s="461"/>
    </row>
    <row r="208" spans="2:12" s="3" customFormat="1" ht="11.25" customHeight="1" x14ac:dyDescent="0.2">
      <c r="B208" s="368"/>
      <c r="D208" s="21"/>
      <c r="E208" s="25"/>
      <c r="F208" s="25"/>
      <c r="G208" s="12"/>
      <c r="J208" s="5"/>
      <c r="L208" s="461"/>
    </row>
    <row r="209" spans="2:12" s="3" customFormat="1" ht="11.25" customHeight="1" x14ac:dyDescent="0.2">
      <c r="B209" s="368"/>
      <c r="D209" s="21"/>
      <c r="E209" s="25"/>
      <c r="F209" s="25"/>
      <c r="G209" s="12"/>
      <c r="J209" s="5"/>
      <c r="L209" s="461"/>
    </row>
    <row r="210" spans="2:12" s="3" customFormat="1" ht="11.25" customHeight="1" x14ac:dyDescent="0.2">
      <c r="B210" s="368"/>
      <c r="D210" s="21"/>
      <c r="E210" s="25"/>
      <c r="F210" s="25"/>
      <c r="G210" s="12"/>
      <c r="J210" s="5"/>
      <c r="L210" s="461"/>
    </row>
    <row r="211" spans="2:12" s="3" customFormat="1" ht="11.25" customHeight="1" x14ac:dyDescent="0.2">
      <c r="B211" s="368"/>
      <c r="D211" s="21"/>
      <c r="E211" s="25"/>
      <c r="F211" s="25"/>
      <c r="G211" s="12"/>
      <c r="J211" s="5"/>
      <c r="L211" s="461"/>
    </row>
    <row r="212" spans="2:12" s="3" customFormat="1" ht="11.25" customHeight="1" x14ac:dyDescent="0.2">
      <c r="B212" s="368"/>
      <c r="D212" s="21"/>
      <c r="E212" s="25"/>
      <c r="F212" s="25"/>
      <c r="G212" s="12"/>
      <c r="J212" s="5"/>
      <c r="L212" s="461"/>
    </row>
    <row r="213" spans="2:12" s="3" customFormat="1" ht="11.25" customHeight="1" x14ac:dyDescent="0.2">
      <c r="B213" s="368"/>
      <c r="D213" s="21"/>
      <c r="E213" s="25"/>
      <c r="F213" s="25"/>
      <c r="G213" s="12"/>
      <c r="J213" s="5"/>
      <c r="L213" s="461"/>
    </row>
    <row r="214" spans="2:12" s="3" customFormat="1" ht="11.25" customHeight="1" x14ac:dyDescent="0.2">
      <c r="B214" s="368"/>
      <c r="D214" s="21"/>
      <c r="E214" s="25"/>
      <c r="F214" s="25"/>
      <c r="G214" s="12"/>
      <c r="J214" s="5"/>
      <c r="L214" s="461"/>
    </row>
    <row r="215" spans="2:12" s="3" customFormat="1" ht="11.25" customHeight="1" x14ac:dyDescent="0.2">
      <c r="B215" s="368"/>
      <c r="D215" s="21"/>
      <c r="E215" s="25"/>
      <c r="F215" s="25"/>
      <c r="G215" s="12"/>
      <c r="J215" s="5"/>
      <c r="L215" s="461"/>
    </row>
    <row r="216" spans="2:12" s="3" customFormat="1" ht="11.25" customHeight="1" x14ac:dyDescent="0.2">
      <c r="B216" s="368"/>
      <c r="D216" s="21"/>
      <c r="E216" s="25"/>
      <c r="F216" s="25"/>
      <c r="G216" s="12"/>
      <c r="J216" s="5"/>
      <c r="L216" s="461"/>
    </row>
    <row r="217" spans="2:12" s="3" customFormat="1" ht="11.25" customHeight="1" x14ac:dyDescent="0.2">
      <c r="B217" s="368"/>
      <c r="D217" s="21"/>
      <c r="E217" s="25"/>
      <c r="F217" s="25"/>
      <c r="G217" s="12"/>
      <c r="J217" s="5"/>
      <c r="L217" s="461"/>
    </row>
    <row r="218" spans="2:12" s="3" customFormat="1" ht="11.25" customHeight="1" x14ac:dyDescent="0.2">
      <c r="B218" s="368"/>
      <c r="D218" s="21"/>
      <c r="E218" s="25"/>
      <c r="F218" s="25"/>
      <c r="G218" s="12"/>
      <c r="J218" s="5"/>
      <c r="L218" s="461"/>
    </row>
    <row r="219" spans="2:12" s="3" customFormat="1" ht="11.25" customHeight="1" x14ac:dyDescent="0.2">
      <c r="B219" s="368"/>
      <c r="D219" s="21"/>
      <c r="E219" s="25"/>
      <c r="F219" s="25"/>
      <c r="G219" s="12"/>
      <c r="J219" s="5"/>
      <c r="L219" s="461"/>
    </row>
    <row r="220" spans="2:12" s="3" customFormat="1" ht="11.25" customHeight="1" x14ac:dyDescent="0.2">
      <c r="B220" s="368"/>
      <c r="D220" s="21"/>
      <c r="E220" s="25"/>
      <c r="F220" s="25"/>
      <c r="G220" s="12"/>
      <c r="J220" s="5"/>
      <c r="L220" s="461"/>
    </row>
    <row r="221" spans="2:12" s="3" customFormat="1" ht="11.25" customHeight="1" x14ac:dyDescent="0.2">
      <c r="B221" s="368"/>
      <c r="D221" s="21"/>
      <c r="E221" s="25"/>
      <c r="F221" s="25"/>
      <c r="G221" s="12"/>
      <c r="J221" s="5"/>
      <c r="L221" s="461"/>
    </row>
    <row r="222" spans="2:12" s="3" customFormat="1" ht="11.25" customHeight="1" x14ac:dyDescent="0.2">
      <c r="B222" s="368"/>
      <c r="D222" s="21"/>
      <c r="E222" s="25"/>
      <c r="F222" s="25"/>
      <c r="G222" s="12"/>
      <c r="J222" s="5"/>
      <c r="L222" s="461"/>
    </row>
    <row r="223" spans="2:12" s="3" customFormat="1" ht="11.25" customHeight="1" x14ac:dyDescent="0.2">
      <c r="B223" s="368"/>
      <c r="D223" s="21"/>
      <c r="E223" s="25"/>
      <c r="F223" s="25"/>
      <c r="G223" s="12"/>
      <c r="J223" s="5"/>
      <c r="L223" s="461"/>
    </row>
    <row r="224" spans="2:12" s="3" customFormat="1" ht="11.25" customHeight="1" x14ac:dyDescent="0.2">
      <c r="B224" s="368"/>
      <c r="D224" s="21"/>
      <c r="E224" s="25"/>
      <c r="F224" s="25"/>
      <c r="G224" s="12"/>
      <c r="J224" s="5"/>
      <c r="L224" s="461"/>
    </row>
    <row r="225" spans="2:12" s="3" customFormat="1" ht="11.25" customHeight="1" x14ac:dyDescent="0.2">
      <c r="B225" s="368"/>
      <c r="D225" s="21"/>
      <c r="E225" s="25"/>
      <c r="F225" s="25"/>
      <c r="G225" s="12"/>
      <c r="J225" s="5"/>
      <c r="L225" s="461"/>
    </row>
    <row r="226" spans="2:12" s="3" customFormat="1" ht="11.25" customHeight="1" x14ac:dyDescent="0.2">
      <c r="B226" s="368"/>
      <c r="D226" s="21"/>
      <c r="E226" s="25"/>
      <c r="F226" s="25"/>
      <c r="G226" s="12"/>
      <c r="J226" s="5"/>
      <c r="L226" s="461"/>
    </row>
    <row r="227" spans="2:12" s="3" customFormat="1" ht="11.25" customHeight="1" x14ac:dyDescent="0.2">
      <c r="B227" s="368"/>
      <c r="D227" s="21"/>
      <c r="E227" s="25"/>
      <c r="F227" s="25"/>
      <c r="G227" s="12"/>
      <c r="J227" s="5"/>
      <c r="L227" s="461"/>
    </row>
    <row r="228" spans="2:12" s="3" customFormat="1" ht="11.25" customHeight="1" x14ac:dyDescent="0.2">
      <c r="B228" s="368"/>
      <c r="D228" s="21"/>
      <c r="E228" s="25"/>
      <c r="F228" s="25"/>
      <c r="G228" s="12"/>
      <c r="J228" s="5"/>
      <c r="L228" s="461"/>
    </row>
    <row r="229" spans="2:12" s="3" customFormat="1" ht="11.25" customHeight="1" x14ac:dyDescent="0.2">
      <c r="B229" s="368"/>
      <c r="D229" s="21"/>
      <c r="E229" s="25"/>
      <c r="F229" s="25"/>
      <c r="G229" s="12"/>
      <c r="J229" s="5"/>
      <c r="L229" s="461"/>
    </row>
    <row r="230" spans="2:12" s="3" customFormat="1" ht="11.25" customHeight="1" x14ac:dyDescent="0.2">
      <c r="B230" s="368"/>
      <c r="D230" s="21"/>
      <c r="E230" s="25"/>
      <c r="F230" s="25"/>
      <c r="G230" s="12"/>
      <c r="J230" s="5"/>
      <c r="L230" s="461"/>
    </row>
    <row r="231" spans="2:12" s="3" customFormat="1" ht="11.25" customHeight="1" x14ac:dyDescent="0.2">
      <c r="B231" s="368"/>
      <c r="D231" s="21"/>
      <c r="E231" s="25"/>
      <c r="F231" s="25"/>
      <c r="G231" s="12"/>
      <c r="J231" s="5"/>
      <c r="L231" s="461"/>
    </row>
    <row r="232" spans="2:12" s="3" customFormat="1" ht="11.25" customHeight="1" x14ac:dyDescent="0.2">
      <c r="B232" s="368"/>
      <c r="D232" s="21"/>
      <c r="E232" s="25"/>
      <c r="F232" s="25"/>
      <c r="G232" s="12"/>
      <c r="J232" s="5"/>
      <c r="L232" s="461"/>
    </row>
    <row r="233" spans="2:12" s="3" customFormat="1" ht="11.25" customHeight="1" x14ac:dyDescent="0.2">
      <c r="B233" s="368"/>
      <c r="D233" s="21"/>
      <c r="E233" s="25"/>
      <c r="F233" s="25"/>
      <c r="G233" s="12"/>
      <c r="J233" s="5"/>
      <c r="L233" s="461"/>
    </row>
    <row r="234" spans="2:12" s="3" customFormat="1" ht="11.25" customHeight="1" x14ac:dyDescent="0.2">
      <c r="B234" s="368"/>
      <c r="D234" s="21"/>
      <c r="E234" s="25"/>
      <c r="F234" s="25"/>
      <c r="G234" s="12"/>
      <c r="J234" s="5"/>
      <c r="L234" s="461"/>
    </row>
    <row r="235" spans="2:12" s="3" customFormat="1" ht="11.25" customHeight="1" x14ac:dyDescent="0.2">
      <c r="B235" s="368"/>
      <c r="D235" s="21"/>
      <c r="E235" s="25"/>
      <c r="F235" s="25"/>
      <c r="G235" s="12"/>
      <c r="J235" s="5"/>
      <c r="L235" s="461"/>
    </row>
    <row r="236" spans="2:12" s="3" customFormat="1" ht="11.25" customHeight="1" x14ac:dyDescent="0.2">
      <c r="B236" s="368"/>
      <c r="D236" s="21"/>
      <c r="E236" s="25"/>
      <c r="F236" s="25"/>
      <c r="G236" s="12"/>
      <c r="J236" s="5"/>
      <c r="L236" s="461"/>
    </row>
    <row r="237" spans="2:12" s="3" customFormat="1" ht="11.25" customHeight="1" x14ac:dyDescent="0.2">
      <c r="B237" s="368"/>
      <c r="D237" s="21"/>
      <c r="E237" s="25"/>
      <c r="F237" s="25"/>
      <c r="G237" s="12"/>
      <c r="J237" s="5"/>
      <c r="L237" s="461"/>
    </row>
    <row r="238" spans="2:12" s="3" customFormat="1" ht="11.25" customHeight="1" x14ac:dyDescent="0.2">
      <c r="B238" s="368"/>
      <c r="D238" s="21"/>
      <c r="E238" s="25"/>
      <c r="F238" s="25"/>
      <c r="G238" s="12"/>
      <c r="J238" s="5"/>
      <c r="L238" s="461"/>
    </row>
    <row r="239" spans="2:12" s="3" customFormat="1" ht="11.25" customHeight="1" x14ac:dyDescent="0.2">
      <c r="B239" s="368"/>
      <c r="D239" s="21"/>
      <c r="E239" s="25"/>
      <c r="F239" s="25"/>
      <c r="G239" s="12"/>
      <c r="J239" s="5"/>
      <c r="L239" s="461"/>
    </row>
    <row r="240" spans="2:12" s="3" customFormat="1" ht="11.25" customHeight="1" x14ac:dyDescent="0.2">
      <c r="B240" s="368"/>
      <c r="D240" s="21"/>
      <c r="E240" s="25"/>
      <c r="F240" s="25"/>
      <c r="G240" s="12"/>
      <c r="J240" s="5"/>
      <c r="L240" s="461"/>
    </row>
    <row r="241" spans="2:12" s="3" customFormat="1" ht="11.25" customHeight="1" x14ac:dyDescent="0.2">
      <c r="B241" s="368"/>
      <c r="D241" s="21"/>
      <c r="E241" s="25"/>
      <c r="F241" s="25"/>
      <c r="G241" s="12"/>
      <c r="J241" s="5"/>
      <c r="L241" s="461"/>
    </row>
    <row r="242" spans="2:12" s="3" customFormat="1" ht="11.25" customHeight="1" x14ac:dyDescent="0.2">
      <c r="B242" s="368"/>
      <c r="D242" s="21"/>
      <c r="E242" s="25"/>
      <c r="F242" s="25"/>
      <c r="G242" s="12"/>
      <c r="J242" s="5"/>
      <c r="L242" s="461"/>
    </row>
    <row r="243" spans="2:12" s="3" customFormat="1" ht="11.25" customHeight="1" x14ac:dyDescent="0.2">
      <c r="B243" s="368"/>
      <c r="D243" s="21"/>
      <c r="E243" s="25"/>
      <c r="F243" s="25"/>
      <c r="G243" s="12"/>
      <c r="J243" s="5"/>
      <c r="L243" s="461"/>
    </row>
    <row r="244" spans="2:12" s="3" customFormat="1" ht="11.25" customHeight="1" x14ac:dyDescent="0.2">
      <c r="B244" s="368"/>
      <c r="D244" s="21"/>
      <c r="E244" s="25"/>
      <c r="F244" s="25"/>
      <c r="G244" s="12"/>
      <c r="J244" s="5"/>
      <c r="L244" s="461"/>
    </row>
    <row r="245" spans="2:12" s="3" customFormat="1" ht="11.25" customHeight="1" x14ac:dyDescent="0.2">
      <c r="B245" s="368"/>
      <c r="D245" s="21"/>
      <c r="E245" s="25"/>
      <c r="F245" s="25"/>
      <c r="G245" s="12"/>
      <c r="J245" s="5"/>
      <c r="L245" s="461"/>
    </row>
    <row r="246" spans="2:12" s="3" customFormat="1" ht="11.25" customHeight="1" x14ac:dyDescent="0.2">
      <c r="B246" s="368"/>
      <c r="D246" s="21"/>
      <c r="E246" s="25"/>
      <c r="F246" s="25"/>
      <c r="G246" s="12"/>
      <c r="J246" s="5"/>
      <c r="L246" s="461"/>
    </row>
    <row r="247" spans="2:12" s="3" customFormat="1" ht="11.25" customHeight="1" x14ac:dyDescent="0.2">
      <c r="B247" s="368"/>
      <c r="D247" s="21"/>
      <c r="E247" s="25"/>
      <c r="F247" s="25"/>
      <c r="G247" s="12"/>
      <c r="J247" s="5"/>
      <c r="L247" s="461"/>
    </row>
    <row r="248" spans="2:12" s="3" customFormat="1" ht="11.25" customHeight="1" x14ac:dyDescent="0.2">
      <c r="B248" s="368"/>
      <c r="D248" s="21"/>
      <c r="E248" s="25"/>
      <c r="F248" s="25"/>
      <c r="G248" s="12"/>
      <c r="J248" s="5"/>
      <c r="L248" s="461"/>
    </row>
    <row r="249" spans="2:12" s="3" customFormat="1" ht="11.25" customHeight="1" x14ac:dyDescent="0.2">
      <c r="B249" s="368"/>
      <c r="D249" s="21"/>
      <c r="E249" s="25"/>
      <c r="F249" s="25"/>
      <c r="G249" s="12"/>
      <c r="J249" s="5"/>
      <c r="L249" s="461"/>
    </row>
    <row r="250" spans="2:12" s="3" customFormat="1" ht="11.25" customHeight="1" x14ac:dyDescent="0.2">
      <c r="B250" s="368"/>
      <c r="D250" s="21"/>
      <c r="E250" s="25"/>
      <c r="F250" s="25"/>
      <c r="G250" s="12"/>
      <c r="J250" s="5"/>
      <c r="L250" s="461"/>
    </row>
    <row r="251" spans="2:12" s="3" customFormat="1" ht="11.25" customHeight="1" x14ac:dyDescent="0.2">
      <c r="B251" s="368"/>
      <c r="D251" s="21"/>
      <c r="E251" s="25"/>
      <c r="F251" s="25"/>
      <c r="G251" s="12"/>
      <c r="J251" s="5"/>
      <c r="L251" s="461"/>
    </row>
    <row r="252" spans="2:12" s="3" customFormat="1" ht="11.25" customHeight="1" x14ac:dyDescent="0.2">
      <c r="B252" s="368"/>
      <c r="D252" s="21"/>
      <c r="E252" s="25"/>
      <c r="F252" s="25"/>
      <c r="G252" s="12"/>
      <c r="J252" s="5"/>
      <c r="L252" s="461"/>
    </row>
    <row r="253" spans="2:12" s="3" customFormat="1" ht="11.25" customHeight="1" x14ac:dyDescent="0.2">
      <c r="B253" s="368"/>
      <c r="D253" s="21"/>
      <c r="E253" s="25"/>
      <c r="F253" s="25"/>
      <c r="G253" s="12"/>
      <c r="J253" s="5"/>
      <c r="L253" s="461"/>
    </row>
    <row r="254" spans="2:12" s="3" customFormat="1" ht="11.25" customHeight="1" x14ac:dyDescent="0.2">
      <c r="B254" s="368"/>
      <c r="D254" s="21"/>
      <c r="E254" s="25"/>
      <c r="F254" s="25"/>
      <c r="G254" s="12"/>
      <c r="J254" s="5"/>
      <c r="L254" s="461"/>
    </row>
    <row r="255" spans="2:12" s="3" customFormat="1" ht="11.25" customHeight="1" x14ac:dyDescent="0.2">
      <c r="B255" s="368"/>
      <c r="D255" s="21"/>
      <c r="E255" s="25"/>
      <c r="F255" s="25"/>
      <c r="G255" s="12"/>
      <c r="J255" s="5"/>
      <c r="L255" s="461"/>
    </row>
    <row r="256" spans="2:12" s="3" customFormat="1" ht="11.25" customHeight="1" x14ac:dyDescent="0.2">
      <c r="B256" s="368"/>
      <c r="D256" s="21"/>
      <c r="E256" s="25"/>
      <c r="F256" s="25"/>
      <c r="G256" s="12"/>
      <c r="J256" s="5"/>
      <c r="L256" s="461"/>
    </row>
    <row r="257" spans="2:12" s="3" customFormat="1" ht="11.25" customHeight="1" x14ac:dyDescent="0.2">
      <c r="B257" s="368"/>
      <c r="D257" s="21"/>
      <c r="E257" s="25"/>
      <c r="F257" s="25"/>
      <c r="G257" s="12"/>
      <c r="J257" s="5"/>
      <c r="L257" s="461"/>
    </row>
    <row r="258" spans="2:12" s="3" customFormat="1" ht="11.25" customHeight="1" x14ac:dyDescent="0.2">
      <c r="B258" s="368"/>
      <c r="D258" s="21"/>
      <c r="E258" s="25"/>
      <c r="F258" s="25"/>
      <c r="G258" s="12"/>
      <c r="J258" s="5"/>
      <c r="L258" s="461"/>
    </row>
    <row r="259" spans="2:12" s="3" customFormat="1" ht="11.25" customHeight="1" x14ac:dyDescent="0.2">
      <c r="B259" s="368"/>
      <c r="D259" s="21"/>
      <c r="E259" s="25"/>
      <c r="F259" s="25"/>
      <c r="G259" s="12"/>
      <c r="J259" s="5"/>
      <c r="L259" s="461"/>
    </row>
    <row r="260" spans="2:12" s="3" customFormat="1" ht="11.25" customHeight="1" x14ac:dyDescent="0.2">
      <c r="B260" s="368"/>
      <c r="D260" s="21"/>
      <c r="E260" s="25"/>
      <c r="F260" s="25"/>
      <c r="G260" s="12"/>
      <c r="J260" s="5"/>
      <c r="L260" s="461"/>
    </row>
    <row r="261" spans="2:12" s="3" customFormat="1" ht="11.25" customHeight="1" x14ac:dyDescent="0.2">
      <c r="B261" s="368"/>
      <c r="D261" s="21"/>
      <c r="E261" s="25"/>
      <c r="F261" s="25"/>
      <c r="G261" s="12"/>
      <c r="J261" s="5"/>
      <c r="L261" s="461"/>
    </row>
    <row r="262" spans="2:12" s="3" customFormat="1" ht="11.25" customHeight="1" x14ac:dyDescent="0.2">
      <c r="B262" s="368"/>
      <c r="D262" s="21"/>
      <c r="E262" s="25"/>
      <c r="F262" s="25"/>
      <c r="G262" s="12"/>
      <c r="J262" s="5"/>
      <c r="L262" s="461"/>
    </row>
    <row r="263" spans="2:12" s="3" customFormat="1" ht="11.25" customHeight="1" x14ac:dyDescent="0.2">
      <c r="B263" s="368"/>
      <c r="D263" s="21"/>
      <c r="E263" s="25"/>
      <c r="F263" s="25"/>
      <c r="G263" s="12"/>
      <c r="J263" s="5"/>
      <c r="L263" s="461"/>
    </row>
    <row r="264" spans="2:12" s="3" customFormat="1" ht="11.25" customHeight="1" x14ac:dyDescent="0.2">
      <c r="B264" s="368"/>
      <c r="D264" s="21"/>
      <c r="E264" s="25"/>
      <c r="F264" s="25"/>
      <c r="G264" s="12"/>
      <c r="J264" s="5"/>
      <c r="L264" s="461"/>
    </row>
    <row r="265" spans="2:12" s="3" customFormat="1" ht="11.25" customHeight="1" x14ac:dyDescent="0.2">
      <c r="B265" s="368"/>
      <c r="D265" s="21"/>
      <c r="E265" s="25"/>
      <c r="F265" s="25"/>
      <c r="G265" s="12"/>
      <c r="J265" s="5"/>
      <c r="L265" s="461"/>
    </row>
    <row r="266" spans="2:12" s="3" customFormat="1" ht="11.25" customHeight="1" x14ac:dyDescent="0.2">
      <c r="B266" s="368"/>
      <c r="D266" s="21"/>
      <c r="E266" s="25"/>
      <c r="F266" s="25"/>
      <c r="G266" s="12"/>
      <c r="J266" s="5"/>
      <c r="L266" s="461"/>
    </row>
    <row r="267" spans="2:12" s="3" customFormat="1" ht="11.25" customHeight="1" x14ac:dyDescent="0.2">
      <c r="B267" s="368"/>
      <c r="D267" s="21"/>
      <c r="E267" s="25"/>
      <c r="F267" s="25"/>
      <c r="G267" s="12"/>
      <c r="J267" s="5"/>
      <c r="L267" s="461"/>
    </row>
    <row r="268" spans="2:12" s="3" customFormat="1" ht="11.25" customHeight="1" x14ac:dyDescent="0.2">
      <c r="B268" s="368"/>
      <c r="D268" s="21"/>
      <c r="E268" s="25"/>
      <c r="F268" s="25"/>
      <c r="G268" s="12"/>
      <c r="J268" s="5"/>
      <c r="L268" s="461"/>
    </row>
    <row r="269" spans="2:12" s="3" customFormat="1" ht="11.25" customHeight="1" x14ac:dyDescent="0.2">
      <c r="B269" s="368"/>
      <c r="D269" s="21"/>
      <c r="E269" s="25"/>
      <c r="F269" s="25"/>
      <c r="G269" s="12"/>
      <c r="J269" s="5"/>
      <c r="L269" s="461"/>
    </row>
    <row r="270" spans="2:12" s="3" customFormat="1" ht="11.25" customHeight="1" x14ac:dyDescent="0.2">
      <c r="B270" s="368"/>
      <c r="D270" s="21"/>
      <c r="E270" s="25"/>
      <c r="F270" s="25"/>
      <c r="G270" s="12"/>
      <c r="J270" s="5"/>
      <c r="L270" s="461"/>
    </row>
    <row r="271" spans="2:12" s="3" customFormat="1" ht="11.25" customHeight="1" x14ac:dyDescent="0.2">
      <c r="B271" s="368"/>
      <c r="D271" s="21"/>
      <c r="E271" s="25"/>
      <c r="F271" s="25"/>
      <c r="G271" s="12"/>
      <c r="J271" s="5"/>
      <c r="L271" s="461"/>
    </row>
    <row r="272" spans="2:12" s="3" customFormat="1" ht="11.25" customHeight="1" x14ac:dyDescent="0.2">
      <c r="B272" s="368"/>
      <c r="D272" s="21"/>
      <c r="E272" s="25"/>
      <c r="F272" s="25"/>
      <c r="G272" s="12"/>
      <c r="J272" s="5"/>
      <c r="L272" s="461"/>
    </row>
    <row r="273" spans="2:12" s="3" customFormat="1" ht="11.25" customHeight="1" x14ac:dyDescent="0.2">
      <c r="B273" s="368"/>
      <c r="D273" s="21"/>
      <c r="E273" s="25"/>
      <c r="F273" s="25"/>
      <c r="G273" s="12"/>
      <c r="J273" s="5"/>
      <c r="L273" s="461"/>
    </row>
    <row r="274" spans="2:12" s="3" customFormat="1" ht="11.25" customHeight="1" x14ac:dyDescent="0.2">
      <c r="B274" s="368"/>
      <c r="D274" s="21"/>
      <c r="E274" s="25"/>
      <c r="F274" s="25"/>
      <c r="G274" s="12"/>
      <c r="J274" s="5"/>
      <c r="L274" s="461"/>
    </row>
    <row r="275" spans="2:12" s="3" customFormat="1" ht="11.25" customHeight="1" x14ac:dyDescent="0.2">
      <c r="B275" s="368"/>
      <c r="D275" s="21"/>
      <c r="E275" s="25"/>
      <c r="F275" s="25"/>
      <c r="G275" s="12"/>
      <c r="J275" s="5"/>
      <c r="L275" s="461"/>
    </row>
    <row r="276" spans="2:12" s="3" customFormat="1" ht="11.25" customHeight="1" x14ac:dyDescent="0.2">
      <c r="B276" s="368"/>
      <c r="D276" s="21"/>
      <c r="E276" s="25"/>
      <c r="F276" s="25"/>
      <c r="G276" s="12"/>
      <c r="J276" s="5"/>
      <c r="L276" s="461"/>
    </row>
    <row r="277" spans="2:12" s="3" customFormat="1" ht="11.25" customHeight="1" x14ac:dyDescent="0.2">
      <c r="B277" s="368"/>
      <c r="D277" s="21"/>
      <c r="E277" s="25"/>
      <c r="F277" s="25"/>
      <c r="G277" s="12"/>
      <c r="J277" s="5"/>
      <c r="L277" s="461"/>
    </row>
    <row r="278" spans="2:12" s="3" customFormat="1" ht="11.25" customHeight="1" x14ac:dyDescent="0.2">
      <c r="B278" s="368"/>
      <c r="D278" s="21"/>
      <c r="E278" s="25"/>
      <c r="F278" s="25"/>
      <c r="G278" s="12"/>
      <c r="J278" s="5"/>
      <c r="L278" s="461"/>
    </row>
    <row r="279" spans="2:12" s="3" customFormat="1" ht="11.25" customHeight="1" x14ac:dyDescent="0.2">
      <c r="B279" s="368"/>
      <c r="D279" s="21"/>
      <c r="E279" s="25"/>
      <c r="F279" s="25"/>
      <c r="G279" s="12"/>
      <c r="J279" s="5"/>
      <c r="L279" s="461"/>
    </row>
    <row r="280" spans="2:12" s="3" customFormat="1" ht="11.25" customHeight="1" x14ac:dyDescent="0.2">
      <c r="B280" s="368"/>
      <c r="D280" s="21"/>
      <c r="E280" s="25"/>
      <c r="F280" s="25"/>
      <c r="G280" s="12"/>
      <c r="J280" s="5"/>
      <c r="L280" s="461"/>
    </row>
    <row r="281" spans="2:12" s="3" customFormat="1" ht="11.25" customHeight="1" x14ac:dyDescent="0.2">
      <c r="B281" s="368"/>
      <c r="D281" s="21"/>
      <c r="E281" s="25"/>
      <c r="F281" s="25"/>
      <c r="G281" s="12"/>
      <c r="J281" s="5"/>
      <c r="L281" s="461"/>
    </row>
    <row r="282" spans="2:12" s="3" customFormat="1" ht="11.25" customHeight="1" x14ac:dyDescent="0.2">
      <c r="B282" s="368"/>
      <c r="D282" s="21"/>
      <c r="E282" s="25"/>
      <c r="F282" s="25"/>
      <c r="G282" s="12"/>
      <c r="J282" s="5"/>
      <c r="L282" s="461"/>
    </row>
    <row r="283" spans="2:12" s="3" customFormat="1" ht="11.25" customHeight="1" x14ac:dyDescent="0.2">
      <c r="B283" s="368"/>
      <c r="D283" s="21"/>
      <c r="E283" s="25"/>
      <c r="F283" s="25"/>
      <c r="G283" s="12"/>
      <c r="J283" s="5"/>
      <c r="L283" s="461"/>
    </row>
    <row r="284" spans="2:12" s="3" customFormat="1" ht="11.25" customHeight="1" x14ac:dyDescent="0.2">
      <c r="B284" s="368"/>
      <c r="D284" s="21"/>
      <c r="E284" s="25"/>
      <c r="F284" s="25"/>
      <c r="G284" s="12"/>
      <c r="J284" s="5"/>
      <c r="L284" s="461"/>
    </row>
    <row r="285" spans="2:12" s="3" customFormat="1" ht="11.25" customHeight="1" x14ac:dyDescent="0.2">
      <c r="B285" s="368"/>
      <c r="D285" s="21"/>
      <c r="E285" s="25"/>
      <c r="F285" s="25"/>
      <c r="G285" s="12"/>
      <c r="J285" s="5"/>
      <c r="L285" s="461"/>
    </row>
    <row r="286" spans="2:12" s="3" customFormat="1" ht="11.25" customHeight="1" x14ac:dyDescent="0.2">
      <c r="B286" s="368"/>
      <c r="D286" s="21"/>
      <c r="E286" s="25"/>
      <c r="F286" s="25"/>
      <c r="G286" s="12"/>
      <c r="J286" s="5"/>
      <c r="L286" s="461"/>
    </row>
    <row r="287" spans="2:12" s="3" customFormat="1" ht="11.25" customHeight="1" x14ac:dyDescent="0.2">
      <c r="B287" s="368"/>
      <c r="D287" s="21"/>
      <c r="E287" s="25"/>
      <c r="F287" s="25"/>
      <c r="G287" s="12"/>
      <c r="J287" s="5"/>
      <c r="L287" s="461"/>
    </row>
    <row r="288" spans="2:12" s="3" customFormat="1" ht="11.25" customHeight="1" x14ac:dyDescent="0.2">
      <c r="B288" s="368"/>
      <c r="D288" s="21"/>
      <c r="E288" s="25"/>
      <c r="F288" s="25"/>
      <c r="G288" s="12"/>
      <c r="J288" s="5"/>
      <c r="L288" s="461"/>
    </row>
    <row r="289" spans="2:12" s="3" customFormat="1" ht="11.25" customHeight="1" x14ac:dyDescent="0.2">
      <c r="B289" s="368"/>
      <c r="D289" s="21"/>
      <c r="E289" s="25"/>
      <c r="F289" s="25"/>
      <c r="G289" s="12"/>
      <c r="J289" s="5"/>
      <c r="L289" s="461"/>
    </row>
    <row r="290" spans="2:12" s="3" customFormat="1" ht="11.25" customHeight="1" x14ac:dyDescent="0.2">
      <c r="B290" s="368"/>
      <c r="D290" s="21"/>
      <c r="E290" s="25"/>
      <c r="F290" s="25"/>
      <c r="G290" s="12"/>
      <c r="J290" s="5"/>
      <c r="L290" s="461"/>
    </row>
    <row r="291" spans="2:12" s="3" customFormat="1" ht="11.25" customHeight="1" x14ac:dyDescent="0.2">
      <c r="B291" s="368"/>
      <c r="D291" s="21"/>
      <c r="E291" s="25"/>
      <c r="F291" s="25"/>
      <c r="G291" s="12"/>
      <c r="J291" s="5"/>
      <c r="L291" s="461"/>
    </row>
    <row r="292" spans="2:12" s="3" customFormat="1" ht="11.25" customHeight="1" x14ac:dyDescent="0.2">
      <c r="B292" s="368"/>
      <c r="D292" s="21"/>
      <c r="E292" s="25"/>
      <c r="F292" s="25"/>
      <c r="G292" s="12"/>
      <c r="J292" s="5"/>
      <c r="L292" s="461"/>
    </row>
    <row r="293" spans="2:12" s="3" customFormat="1" ht="11.25" customHeight="1" x14ac:dyDescent="0.2">
      <c r="B293" s="368"/>
      <c r="D293" s="21"/>
      <c r="E293" s="25"/>
      <c r="F293" s="25"/>
      <c r="G293" s="12"/>
      <c r="J293" s="5"/>
      <c r="L293" s="461"/>
    </row>
    <row r="294" spans="2:12" s="3" customFormat="1" ht="11.25" customHeight="1" x14ac:dyDescent="0.2">
      <c r="B294" s="368"/>
      <c r="D294" s="21"/>
      <c r="E294" s="25"/>
      <c r="F294" s="25"/>
      <c r="G294" s="12"/>
      <c r="J294" s="5"/>
      <c r="L294" s="461"/>
    </row>
    <row r="295" spans="2:12" s="3" customFormat="1" ht="11.25" customHeight="1" x14ac:dyDescent="0.2">
      <c r="B295" s="368"/>
      <c r="D295" s="21"/>
      <c r="E295" s="25"/>
      <c r="F295" s="25"/>
      <c r="G295" s="12"/>
      <c r="J295" s="5"/>
      <c r="L295" s="461"/>
    </row>
    <row r="296" spans="2:12" s="3" customFormat="1" ht="11.25" customHeight="1" x14ac:dyDescent="0.2">
      <c r="B296" s="368"/>
      <c r="D296" s="21"/>
      <c r="E296" s="25"/>
      <c r="F296" s="25"/>
      <c r="G296" s="12"/>
      <c r="J296" s="5"/>
      <c r="L296" s="461"/>
    </row>
    <row r="297" spans="2:12" s="3" customFormat="1" ht="11.25" customHeight="1" x14ac:dyDescent="0.2">
      <c r="B297" s="368"/>
      <c r="D297" s="21"/>
      <c r="E297" s="25"/>
      <c r="F297" s="25"/>
      <c r="G297" s="12"/>
      <c r="J297" s="5"/>
      <c r="L297" s="461"/>
    </row>
    <row r="298" spans="2:12" s="3" customFormat="1" ht="11.25" customHeight="1" x14ac:dyDescent="0.2">
      <c r="B298" s="368"/>
      <c r="D298" s="21"/>
      <c r="E298" s="25"/>
      <c r="F298" s="25"/>
      <c r="G298" s="12"/>
      <c r="J298" s="5"/>
      <c r="L298" s="461"/>
    </row>
    <row r="299" spans="2:12" s="3" customFormat="1" ht="11.25" customHeight="1" x14ac:dyDescent="0.2">
      <c r="B299" s="368"/>
      <c r="D299" s="21"/>
      <c r="E299" s="25"/>
      <c r="F299" s="25"/>
      <c r="G299" s="12"/>
      <c r="J299" s="5"/>
      <c r="L299" s="461"/>
    </row>
    <row r="300" spans="2:12" s="3" customFormat="1" ht="11.25" customHeight="1" x14ac:dyDescent="0.2">
      <c r="B300" s="368"/>
      <c r="D300" s="21"/>
      <c r="E300" s="25"/>
      <c r="F300" s="25"/>
      <c r="G300" s="12"/>
      <c r="J300" s="5"/>
      <c r="L300" s="461"/>
    </row>
    <row r="301" spans="2:12" s="3" customFormat="1" ht="11.25" customHeight="1" x14ac:dyDescent="0.2">
      <c r="B301" s="368"/>
      <c r="D301" s="21"/>
      <c r="E301" s="25"/>
      <c r="F301" s="25"/>
      <c r="G301" s="12"/>
      <c r="J301" s="5"/>
      <c r="L301" s="461"/>
    </row>
    <row r="302" spans="2:12" s="3" customFormat="1" ht="11.25" customHeight="1" x14ac:dyDescent="0.2">
      <c r="B302" s="368"/>
      <c r="D302" s="21"/>
      <c r="E302" s="25"/>
      <c r="F302" s="25"/>
      <c r="G302" s="12"/>
      <c r="J302" s="5"/>
      <c r="L302" s="461"/>
    </row>
    <row r="303" spans="2:12" s="3" customFormat="1" ht="11.25" customHeight="1" x14ac:dyDescent="0.2">
      <c r="B303" s="368"/>
      <c r="D303" s="21"/>
      <c r="E303" s="25"/>
      <c r="F303" s="25"/>
      <c r="G303" s="12"/>
      <c r="J303" s="5"/>
      <c r="L303" s="461"/>
    </row>
    <row r="304" spans="2:12" s="3" customFormat="1" ht="11.25" customHeight="1" x14ac:dyDescent="0.2">
      <c r="B304" s="368"/>
      <c r="D304" s="21"/>
      <c r="E304" s="25"/>
      <c r="F304" s="25"/>
      <c r="G304" s="12"/>
      <c r="J304" s="5"/>
      <c r="L304" s="461"/>
    </row>
    <row r="305" spans="2:12" s="3" customFormat="1" ht="11.25" customHeight="1" x14ac:dyDescent="0.2">
      <c r="B305" s="368"/>
      <c r="D305" s="21"/>
      <c r="E305" s="25"/>
      <c r="F305" s="25"/>
      <c r="G305" s="12"/>
      <c r="J305" s="5"/>
      <c r="L305" s="461"/>
    </row>
    <row r="306" spans="2:12" s="3" customFormat="1" ht="11.25" customHeight="1" x14ac:dyDescent="0.2">
      <c r="B306" s="368"/>
      <c r="D306" s="21"/>
      <c r="E306" s="25"/>
      <c r="F306" s="25"/>
      <c r="G306" s="12"/>
      <c r="J306" s="5"/>
      <c r="L306" s="461"/>
    </row>
    <row r="307" spans="2:12" s="3" customFormat="1" ht="11.25" customHeight="1" x14ac:dyDescent="0.2">
      <c r="B307" s="368"/>
      <c r="D307" s="21"/>
      <c r="E307" s="25"/>
      <c r="F307" s="25"/>
      <c r="G307" s="12"/>
      <c r="J307" s="5"/>
      <c r="L307" s="461"/>
    </row>
    <row r="308" spans="2:12" s="3" customFormat="1" ht="11.25" customHeight="1" x14ac:dyDescent="0.2">
      <c r="B308" s="368"/>
      <c r="D308" s="21"/>
      <c r="E308" s="25"/>
      <c r="F308" s="25"/>
      <c r="G308" s="12"/>
      <c r="J308" s="5"/>
      <c r="L308" s="461"/>
    </row>
    <row r="309" spans="2:12" s="3" customFormat="1" ht="11.25" customHeight="1" x14ac:dyDescent="0.2">
      <c r="B309" s="368"/>
      <c r="D309" s="21"/>
      <c r="E309" s="25"/>
      <c r="F309" s="25"/>
      <c r="G309" s="12"/>
      <c r="J309" s="5"/>
      <c r="L309" s="461"/>
    </row>
    <row r="310" spans="2:12" s="3" customFormat="1" ht="11.25" customHeight="1" x14ac:dyDescent="0.2">
      <c r="B310" s="368"/>
      <c r="D310" s="21"/>
      <c r="E310" s="25"/>
      <c r="F310" s="25"/>
      <c r="G310" s="12"/>
      <c r="J310" s="5"/>
      <c r="L310" s="461"/>
    </row>
    <row r="311" spans="2:12" s="3" customFormat="1" ht="11.25" customHeight="1" x14ac:dyDescent="0.2">
      <c r="B311" s="368"/>
      <c r="D311" s="21"/>
      <c r="E311" s="25"/>
      <c r="F311" s="25"/>
      <c r="G311" s="12"/>
      <c r="J311" s="5"/>
      <c r="L311" s="461"/>
    </row>
    <row r="312" spans="2:12" s="3" customFormat="1" ht="11.25" customHeight="1" x14ac:dyDescent="0.2">
      <c r="B312" s="368"/>
      <c r="D312" s="21"/>
      <c r="E312" s="25"/>
      <c r="F312" s="25"/>
      <c r="G312" s="12"/>
      <c r="J312" s="5"/>
      <c r="L312" s="461"/>
    </row>
    <row r="313" spans="2:12" s="3" customFormat="1" ht="11.25" customHeight="1" x14ac:dyDescent="0.2">
      <c r="B313" s="368"/>
      <c r="D313" s="21"/>
      <c r="E313" s="25"/>
      <c r="F313" s="25"/>
      <c r="G313" s="12"/>
      <c r="J313" s="5"/>
      <c r="L313" s="461"/>
    </row>
    <row r="314" spans="2:12" s="3" customFormat="1" ht="11.25" customHeight="1" x14ac:dyDescent="0.2">
      <c r="B314" s="368"/>
      <c r="D314" s="21"/>
      <c r="E314" s="25"/>
      <c r="F314" s="25"/>
      <c r="G314" s="12"/>
      <c r="J314" s="5"/>
      <c r="L314" s="461"/>
    </row>
    <row r="315" spans="2:12" s="3" customFormat="1" ht="11.25" customHeight="1" x14ac:dyDescent="0.2">
      <c r="B315" s="368"/>
      <c r="D315" s="21"/>
      <c r="E315" s="25"/>
      <c r="F315" s="25"/>
      <c r="G315" s="12"/>
      <c r="J315" s="5"/>
      <c r="L315" s="461"/>
    </row>
    <row r="316" spans="2:12" s="3" customFormat="1" ht="11.25" customHeight="1" x14ac:dyDescent="0.2">
      <c r="B316" s="368"/>
      <c r="D316" s="21"/>
      <c r="E316" s="25"/>
      <c r="F316" s="25"/>
      <c r="G316" s="12"/>
      <c r="J316" s="5"/>
      <c r="L316" s="461"/>
    </row>
    <row r="317" spans="2:12" s="3" customFormat="1" ht="11.25" customHeight="1" x14ac:dyDescent="0.2">
      <c r="B317" s="368"/>
      <c r="D317" s="21"/>
      <c r="E317" s="25"/>
      <c r="F317" s="25"/>
      <c r="G317" s="12"/>
      <c r="J317" s="5"/>
      <c r="L317" s="461"/>
    </row>
    <row r="318" spans="2:12" s="3" customFormat="1" ht="11.25" customHeight="1" x14ac:dyDescent="0.2">
      <c r="B318" s="368"/>
      <c r="D318" s="21"/>
      <c r="E318" s="25"/>
      <c r="F318" s="25"/>
      <c r="G318" s="12"/>
      <c r="J318" s="5"/>
      <c r="L318" s="461"/>
    </row>
    <row r="319" spans="2:12" s="3" customFormat="1" ht="11.25" customHeight="1" x14ac:dyDescent="0.2">
      <c r="B319" s="368"/>
      <c r="D319" s="21"/>
      <c r="E319" s="25"/>
      <c r="F319" s="25"/>
      <c r="G319" s="12"/>
      <c r="J319" s="5"/>
      <c r="L319" s="461"/>
    </row>
    <row r="320" spans="2:12" s="3" customFormat="1" ht="11.25" customHeight="1" x14ac:dyDescent="0.2">
      <c r="B320" s="368"/>
      <c r="D320" s="21"/>
      <c r="E320" s="25"/>
      <c r="F320" s="25"/>
      <c r="G320" s="12"/>
      <c r="J320" s="5"/>
      <c r="L320" s="461"/>
    </row>
    <row r="321" spans="2:12" s="3" customFormat="1" ht="11.25" customHeight="1" x14ac:dyDescent="0.2">
      <c r="B321" s="368"/>
      <c r="D321" s="21"/>
      <c r="E321" s="25"/>
      <c r="F321" s="25"/>
      <c r="G321" s="12"/>
      <c r="J321" s="5"/>
      <c r="L321" s="461"/>
    </row>
    <row r="322" spans="2:12" s="3" customFormat="1" ht="11.25" customHeight="1" x14ac:dyDescent="0.2">
      <c r="B322" s="368"/>
      <c r="D322" s="21"/>
      <c r="E322" s="25"/>
      <c r="F322" s="25"/>
      <c r="G322" s="12"/>
      <c r="J322" s="5"/>
      <c r="L322" s="461"/>
    </row>
    <row r="323" spans="2:12" s="3" customFormat="1" ht="11.25" customHeight="1" x14ac:dyDescent="0.2">
      <c r="B323" s="368"/>
      <c r="D323" s="21"/>
      <c r="E323" s="25"/>
      <c r="F323" s="25"/>
      <c r="G323" s="12"/>
      <c r="J323" s="5"/>
      <c r="L323" s="461"/>
    </row>
    <row r="324" spans="2:12" s="3" customFormat="1" ht="11.25" customHeight="1" x14ac:dyDescent="0.2">
      <c r="B324" s="368"/>
      <c r="D324" s="21"/>
      <c r="E324" s="25"/>
      <c r="F324" s="25"/>
      <c r="G324" s="12"/>
      <c r="J324" s="5"/>
      <c r="L324" s="461"/>
    </row>
    <row r="325" spans="2:12" s="3" customFormat="1" ht="11.25" customHeight="1" x14ac:dyDescent="0.2">
      <c r="B325" s="368"/>
      <c r="D325" s="21"/>
      <c r="E325" s="25"/>
      <c r="F325" s="25"/>
      <c r="G325" s="12"/>
      <c r="J325" s="5"/>
      <c r="L325" s="461"/>
    </row>
    <row r="326" spans="2:12" s="3" customFormat="1" ht="11.25" customHeight="1" x14ac:dyDescent="0.2">
      <c r="B326" s="368"/>
      <c r="D326" s="21"/>
      <c r="E326" s="25"/>
      <c r="F326" s="25"/>
      <c r="G326" s="12"/>
      <c r="J326" s="5"/>
      <c r="L326" s="461"/>
    </row>
    <row r="327" spans="2:12" s="3" customFormat="1" ht="11.25" customHeight="1" x14ac:dyDescent="0.2">
      <c r="B327" s="368"/>
      <c r="D327" s="21"/>
      <c r="E327" s="25"/>
      <c r="F327" s="25"/>
      <c r="G327" s="12"/>
      <c r="J327" s="5"/>
      <c r="L327" s="461"/>
    </row>
    <row r="328" spans="2:12" s="3" customFormat="1" ht="11.25" customHeight="1" x14ac:dyDescent="0.2">
      <c r="B328" s="368"/>
      <c r="D328" s="21"/>
      <c r="E328" s="25"/>
      <c r="F328" s="25"/>
      <c r="G328" s="12"/>
      <c r="J328" s="5"/>
      <c r="L328" s="461"/>
    </row>
    <row r="329" spans="2:12" s="3" customFormat="1" ht="11.25" customHeight="1" x14ac:dyDescent="0.2">
      <c r="B329" s="368"/>
      <c r="D329" s="21"/>
      <c r="E329" s="25"/>
      <c r="F329" s="25"/>
      <c r="G329" s="12"/>
      <c r="J329" s="5"/>
      <c r="L329" s="461"/>
    </row>
    <row r="330" spans="2:12" s="3" customFormat="1" ht="11.25" customHeight="1" x14ac:dyDescent="0.2">
      <c r="B330" s="368"/>
      <c r="D330" s="21"/>
      <c r="E330" s="25"/>
      <c r="F330" s="25"/>
      <c r="G330" s="12"/>
      <c r="J330" s="5"/>
      <c r="L330" s="461"/>
    </row>
    <row r="331" spans="2:12" s="3" customFormat="1" ht="11.25" customHeight="1" x14ac:dyDescent="0.2">
      <c r="B331" s="368"/>
      <c r="D331" s="21"/>
      <c r="E331" s="25"/>
      <c r="F331" s="25"/>
      <c r="G331" s="12"/>
      <c r="J331" s="5"/>
      <c r="L331" s="461"/>
    </row>
    <row r="332" spans="2:12" s="3" customFormat="1" ht="11.25" customHeight="1" x14ac:dyDescent="0.2">
      <c r="B332" s="368"/>
      <c r="D332" s="21"/>
      <c r="E332" s="25"/>
      <c r="F332" s="25"/>
      <c r="G332" s="12"/>
      <c r="J332" s="5"/>
      <c r="L332" s="461"/>
    </row>
    <row r="333" spans="2:12" s="3" customFormat="1" ht="11.25" customHeight="1" x14ac:dyDescent="0.2">
      <c r="B333" s="368"/>
      <c r="D333" s="21"/>
      <c r="E333" s="25"/>
      <c r="F333" s="25"/>
      <c r="G333" s="12"/>
      <c r="J333" s="5"/>
      <c r="L333" s="461"/>
    </row>
    <row r="334" spans="2:12" s="3" customFormat="1" ht="11.25" customHeight="1" x14ac:dyDescent="0.2">
      <c r="B334" s="368"/>
      <c r="D334" s="21"/>
      <c r="E334" s="25"/>
      <c r="F334" s="25"/>
      <c r="G334" s="12"/>
      <c r="J334" s="5"/>
      <c r="L334" s="461"/>
    </row>
    <row r="335" spans="2:12" s="3" customFormat="1" ht="11.25" customHeight="1" x14ac:dyDescent="0.2">
      <c r="B335" s="368"/>
      <c r="D335" s="21"/>
      <c r="E335" s="25"/>
      <c r="F335" s="25"/>
      <c r="G335" s="12"/>
      <c r="J335" s="5"/>
      <c r="L335" s="461"/>
    </row>
    <row r="336" spans="2:12" s="3" customFormat="1" ht="11.25" customHeight="1" x14ac:dyDescent="0.2">
      <c r="B336" s="368"/>
      <c r="D336" s="21"/>
      <c r="E336" s="25"/>
      <c r="F336" s="25"/>
      <c r="G336" s="12"/>
      <c r="J336" s="5"/>
      <c r="L336" s="461"/>
    </row>
    <row r="337" spans="2:12" s="3" customFormat="1" ht="11.25" customHeight="1" x14ac:dyDescent="0.2">
      <c r="B337" s="368"/>
      <c r="D337" s="21"/>
      <c r="E337" s="25"/>
      <c r="F337" s="25"/>
      <c r="G337" s="12"/>
      <c r="J337" s="5"/>
      <c r="L337" s="461"/>
    </row>
    <row r="338" spans="2:12" s="3" customFormat="1" ht="11.25" customHeight="1" x14ac:dyDescent="0.2">
      <c r="B338" s="368"/>
      <c r="D338" s="21"/>
      <c r="E338" s="25"/>
      <c r="F338" s="25"/>
      <c r="G338" s="12"/>
      <c r="J338" s="5"/>
      <c r="L338" s="461"/>
    </row>
    <row r="339" spans="2:12" s="3" customFormat="1" ht="11.25" customHeight="1" x14ac:dyDescent="0.2">
      <c r="B339" s="368"/>
      <c r="D339" s="21"/>
      <c r="E339" s="25"/>
      <c r="F339" s="25"/>
      <c r="G339" s="12"/>
      <c r="J339" s="5"/>
      <c r="L339" s="461"/>
    </row>
    <row r="340" spans="2:12" s="3" customFormat="1" ht="11.25" customHeight="1" x14ac:dyDescent="0.2">
      <c r="B340" s="368"/>
      <c r="D340" s="21"/>
      <c r="E340" s="25"/>
      <c r="F340" s="25"/>
      <c r="G340" s="12"/>
      <c r="J340" s="5"/>
      <c r="L340" s="461"/>
    </row>
    <row r="341" spans="2:12" s="3" customFormat="1" ht="11.25" customHeight="1" x14ac:dyDescent="0.2">
      <c r="B341" s="368"/>
      <c r="D341" s="21"/>
      <c r="E341" s="25"/>
      <c r="F341" s="25"/>
      <c r="G341" s="12"/>
      <c r="J341" s="5"/>
      <c r="L341" s="461"/>
    </row>
    <row r="342" spans="2:12" s="3" customFormat="1" ht="11.25" customHeight="1" x14ac:dyDescent="0.2">
      <c r="B342" s="368"/>
      <c r="D342" s="21"/>
      <c r="E342" s="25"/>
      <c r="F342" s="25"/>
      <c r="G342" s="12"/>
      <c r="J342" s="5"/>
      <c r="L342" s="461"/>
    </row>
    <row r="343" spans="2:12" s="3" customFormat="1" ht="11.25" customHeight="1" x14ac:dyDescent="0.2">
      <c r="B343" s="368"/>
      <c r="D343" s="21"/>
      <c r="E343" s="25"/>
      <c r="F343" s="25"/>
      <c r="G343" s="12"/>
      <c r="J343" s="5"/>
      <c r="L343" s="461"/>
    </row>
    <row r="344" spans="2:12" s="3" customFormat="1" ht="11.25" customHeight="1" x14ac:dyDescent="0.2">
      <c r="B344" s="368"/>
      <c r="D344" s="21"/>
      <c r="E344" s="25"/>
      <c r="F344" s="25"/>
      <c r="G344" s="12"/>
      <c r="J344" s="5"/>
      <c r="L344" s="461"/>
    </row>
    <row r="345" spans="2:12" s="3" customFormat="1" ht="11.25" customHeight="1" x14ac:dyDescent="0.2">
      <c r="B345" s="368"/>
      <c r="D345" s="21"/>
      <c r="E345" s="25"/>
      <c r="F345" s="25"/>
      <c r="G345" s="12"/>
      <c r="J345" s="5"/>
      <c r="L345" s="461"/>
    </row>
    <row r="346" spans="2:12" s="3" customFormat="1" ht="11.25" customHeight="1" x14ac:dyDescent="0.2">
      <c r="B346" s="368"/>
      <c r="D346" s="21"/>
      <c r="E346" s="25"/>
      <c r="F346" s="25"/>
      <c r="G346" s="12"/>
      <c r="J346" s="5"/>
      <c r="L346" s="461"/>
    </row>
    <row r="347" spans="2:12" s="3" customFormat="1" ht="11.25" customHeight="1" x14ac:dyDescent="0.2">
      <c r="B347" s="368"/>
      <c r="D347" s="21"/>
      <c r="E347" s="25"/>
      <c r="F347" s="25"/>
      <c r="G347" s="12"/>
      <c r="J347" s="5"/>
      <c r="L347" s="461"/>
    </row>
    <row r="348" spans="2:12" s="3" customFormat="1" ht="11.25" customHeight="1" x14ac:dyDescent="0.2">
      <c r="B348" s="368"/>
      <c r="D348" s="21"/>
      <c r="E348" s="25"/>
      <c r="F348" s="25"/>
      <c r="G348" s="12"/>
      <c r="J348" s="5"/>
      <c r="L348" s="461"/>
    </row>
    <row r="349" spans="2:12" s="3" customFormat="1" ht="11.25" customHeight="1" x14ac:dyDescent="0.2">
      <c r="B349" s="368"/>
      <c r="D349" s="21"/>
      <c r="E349" s="25"/>
      <c r="F349" s="25"/>
      <c r="G349" s="12"/>
      <c r="J349" s="5"/>
      <c r="L349" s="461"/>
    </row>
    <row r="350" spans="2:12" s="3" customFormat="1" ht="11.25" customHeight="1" x14ac:dyDescent="0.2">
      <c r="B350" s="368"/>
      <c r="D350" s="21"/>
      <c r="E350" s="25"/>
      <c r="F350" s="25"/>
      <c r="G350" s="12"/>
      <c r="J350" s="5"/>
      <c r="L350" s="461"/>
    </row>
    <row r="351" spans="2:12" s="3" customFormat="1" ht="11.25" customHeight="1" x14ac:dyDescent="0.2">
      <c r="B351" s="368"/>
      <c r="D351" s="21"/>
      <c r="E351" s="25"/>
      <c r="F351" s="25"/>
      <c r="G351" s="12"/>
      <c r="J351" s="5"/>
      <c r="L351" s="461"/>
    </row>
    <row r="352" spans="2:12" s="3" customFormat="1" ht="11.25" customHeight="1" x14ac:dyDescent="0.2">
      <c r="B352" s="368"/>
      <c r="D352" s="21"/>
      <c r="E352" s="25"/>
      <c r="F352" s="25"/>
      <c r="G352" s="12"/>
      <c r="J352" s="5"/>
      <c r="L352" s="461"/>
    </row>
    <row r="353" spans="2:12" s="3" customFormat="1" ht="11.25" customHeight="1" x14ac:dyDescent="0.2">
      <c r="B353" s="368"/>
      <c r="D353" s="21"/>
      <c r="E353" s="25"/>
      <c r="F353" s="25"/>
      <c r="G353" s="12"/>
      <c r="J353" s="5"/>
      <c r="L353" s="461"/>
    </row>
    <row r="354" spans="2:12" s="3" customFormat="1" ht="11.25" customHeight="1" x14ac:dyDescent="0.2">
      <c r="B354" s="368"/>
      <c r="D354" s="21"/>
      <c r="E354" s="25"/>
      <c r="F354" s="25"/>
      <c r="G354" s="12"/>
      <c r="J354" s="5"/>
      <c r="L354" s="461"/>
    </row>
    <row r="355" spans="2:12" s="3" customFormat="1" ht="11.25" customHeight="1" x14ac:dyDescent="0.2">
      <c r="B355" s="368"/>
      <c r="D355" s="21"/>
      <c r="E355" s="25"/>
      <c r="F355" s="25"/>
      <c r="G355" s="12"/>
      <c r="J355" s="5"/>
      <c r="L355" s="461"/>
    </row>
    <row r="356" spans="2:12" s="3" customFormat="1" ht="11.25" customHeight="1" x14ac:dyDescent="0.2">
      <c r="B356" s="368"/>
      <c r="D356" s="21"/>
      <c r="E356" s="25"/>
      <c r="F356" s="25"/>
      <c r="G356" s="12"/>
      <c r="J356" s="5"/>
      <c r="L356" s="461"/>
    </row>
    <row r="357" spans="2:12" s="3" customFormat="1" ht="11.25" customHeight="1" x14ac:dyDescent="0.2">
      <c r="B357" s="368"/>
      <c r="D357" s="21"/>
      <c r="E357" s="25"/>
      <c r="F357" s="25"/>
      <c r="G357" s="12"/>
      <c r="J357" s="5"/>
      <c r="L357" s="461"/>
    </row>
    <row r="358" spans="2:12" s="3" customFormat="1" ht="11.25" customHeight="1" x14ac:dyDescent="0.2">
      <c r="B358" s="368"/>
      <c r="D358" s="21"/>
      <c r="E358" s="25"/>
      <c r="F358" s="25"/>
      <c r="G358" s="12"/>
      <c r="J358" s="5"/>
      <c r="L358" s="461"/>
    </row>
    <row r="359" spans="2:12" s="3" customFormat="1" ht="11.25" customHeight="1" x14ac:dyDescent="0.2">
      <c r="B359" s="368"/>
      <c r="D359" s="21"/>
      <c r="E359" s="25"/>
      <c r="F359" s="25"/>
      <c r="G359" s="12"/>
      <c r="J359" s="5"/>
      <c r="L359" s="461"/>
    </row>
    <row r="360" spans="2:12" s="3" customFormat="1" ht="11.25" customHeight="1" x14ac:dyDescent="0.2">
      <c r="B360" s="368"/>
      <c r="D360" s="21"/>
      <c r="E360" s="25"/>
      <c r="F360" s="25"/>
      <c r="G360" s="12"/>
      <c r="J360" s="5"/>
      <c r="L360" s="461"/>
    </row>
    <row r="361" spans="2:12" s="3" customFormat="1" ht="11.25" customHeight="1" x14ac:dyDescent="0.2">
      <c r="B361" s="368"/>
      <c r="D361" s="21"/>
      <c r="E361" s="25"/>
      <c r="F361" s="25"/>
      <c r="G361" s="12"/>
      <c r="J361" s="5"/>
      <c r="L361" s="461"/>
    </row>
    <row r="362" spans="2:12" s="3" customFormat="1" ht="11.25" customHeight="1" x14ac:dyDescent="0.2">
      <c r="B362" s="368"/>
      <c r="D362" s="21"/>
      <c r="E362" s="25"/>
      <c r="F362" s="25"/>
      <c r="G362" s="12"/>
      <c r="J362" s="5"/>
      <c r="L362" s="461"/>
    </row>
    <row r="363" spans="2:12" s="3" customFormat="1" ht="11.25" customHeight="1" x14ac:dyDescent="0.2">
      <c r="B363" s="368"/>
      <c r="D363" s="21"/>
      <c r="E363" s="25"/>
      <c r="F363" s="25"/>
      <c r="G363" s="12"/>
      <c r="J363" s="5"/>
      <c r="L363" s="461"/>
    </row>
    <row r="364" spans="2:12" s="3" customFormat="1" ht="11.25" customHeight="1" x14ac:dyDescent="0.2">
      <c r="B364" s="368"/>
      <c r="D364" s="21"/>
      <c r="E364" s="25"/>
      <c r="F364" s="25"/>
      <c r="G364" s="12"/>
      <c r="J364" s="5"/>
      <c r="L364" s="461"/>
    </row>
    <row r="365" spans="2:12" s="3" customFormat="1" ht="11.25" customHeight="1" x14ac:dyDescent="0.2">
      <c r="B365" s="368"/>
      <c r="D365" s="21"/>
      <c r="E365" s="25"/>
      <c r="F365" s="25"/>
      <c r="G365" s="12"/>
      <c r="J365" s="5"/>
      <c r="L365" s="461"/>
    </row>
    <row r="366" spans="2:12" s="3" customFormat="1" ht="11.25" customHeight="1" x14ac:dyDescent="0.2">
      <c r="B366" s="368"/>
      <c r="D366" s="21"/>
      <c r="E366" s="25"/>
      <c r="F366" s="25"/>
      <c r="G366" s="12"/>
      <c r="J366" s="5"/>
      <c r="L366" s="461"/>
    </row>
    <row r="367" spans="2:12" s="3" customFormat="1" ht="11.25" customHeight="1" x14ac:dyDescent="0.2">
      <c r="B367" s="368"/>
      <c r="D367" s="21"/>
      <c r="E367" s="25"/>
      <c r="F367" s="25"/>
      <c r="G367" s="12"/>
      <c r="J367" s="5"/>
      <c r="L367" s="461"/>
    </row>
    <row r="368" spans="2:12" s="3" customFormat="1" ht="11.25" customHeight="1" x14ac:dyDescent="0.2">
      <c r="B368" s="368"/>
      <c r="D368" s="21"/>
      <c r="E368" s="25"/>
      <c r="F368" s="25"/>
      <c r="G368" s="12"/>
      <c r="J368" s="5"/>
      <c r="L368" s="461"/>
    </row>
    <row r="369" spans="2:12" s="3" customFormat="1" ht="11.25" customHeight="1" x14ac:dyDescent="0.2">
      <c r="B369" s="368"/>
      <c r="D369" s="21"/>
      <c r="E369" s="25"/>
      <c r="F369" s="25"/>
      <c r="G369" s="12"/>
      <c r="J369" s="5"/>
      <c r="L369" s="461"/>
    </row>
    <row r="370" spans="2:12" s="3" customFormat="1" ht="11.25" customHeight="1" x14ac:dyDescent="0.2">
      <c r="B370" s="368"/>
      <c r="D370" s="21"/>
      <c r="E370" s="25"/>
      <c r="F370" s="25"/>
      <c r="G370" s="12"/>
      <c r="J370" s="5"/>
      <c r="L370" s="461"/>
    </row>
    <row r="371" spans="2:12" s="3" customFormat="1" ht="11.25" customHeight="1" x14ac:dyDescent="0.2">
      <c r="B371" s="368"/>
      <c r="D371" s="21"/>
      <c r="E371" s="25"/>
      <c r="F371" s="25"/>
      <c r="G371" s="12"/>
      <c r="J371" s="5"/>
      <c r="L371" s="461"/>
    </row>
    <row r="372" spans="2:12" s="3" customFormat="1" ht="11.25" customHeight="1" x14ac:dyDescent="0.2">
      <c r="B372" s="368"/>
      <c r="D372" s="21"/>
      <c r="E372" s="25"/>
      <c r="F372" s="25"/>
      <c r="G372" s="12"/>
      <c r="J372" s="5"/>
      <c r="L372" s="461"/>
    </row>
    <row r="373" spans="2:12" s="3" customFormat="1" ht="11.25" customHeight="1" x14ac:dyDescent="0.2">
      <c r="B373" s="368"/>
      <c r="D373" s="21"/>
      <c r="E373" s="25"/>
      <c r="F373" s="25"/>
      <c r="G373" s="12"/>
      <c r="J373" s="5"/>
      <c r="L373" s="461"/>
    </row>
    <row r="374" spans="2:12" s="3" customFormat="1" ht="11.25" customHeight="1" x14ac:dyDescent="0.2">
      <c r="B374" s="368"/>
      <c r="D374" s="21"/>
      <c r="E374" s="25"/>
      <c r="F374" s="25"/>
      <c r="G374" s="12"/>
      <c r="J374" s="5"/>
      <c r="L374" s="461"/>
    </row>
    <row r="375" spans="2:12" s="3" customFormat="1" ht="11.25" customHeight="1" x14ac:dyDescent="0.2">
      <c r="B375" s="368"/>
      <c r="D375" s="21"/>
      <c r="E375" s="25"/>
      <c r="F375" s="25"/>
      <c r="G375" s="12"/>
      <c r="J375" s="5"/>
      <c r="L375" s="461"/>
    </row>
    <row r="376" spans="2:12" s="3" customFormat="1" ht="11.25" customHeight="1" x14ac:dyDescent="0.2">
      <c r="B376" s="368"/>
      <c r="D376" s="21"/>
      <c r="E376" s="25"/>
      <c r="F376" s="25"/>
      <c r="G376" s="12"/>
      <c r="J376" s="5"/>
      <c r="L376" s="461"/>
    </row>
    <row r="377" spans="2:12" s="3" customFormat="1" ht="11.25" customHeight="1" x14ac:dyDescent="0.2">
      <c r="B377" s="368"/>
      <c r="D377" s="21"/>
      <c r="E377" s="25"/>
      <c r="F377" s="25"/>
      <c r="G377" s="12"/>
      <c r="J377" s="5"/>
      <c r="L377" s="461"/>
    </row>
    <row r="378" spans="2:12" s="3" customFormat="1" ht="11.25" customHeight="1" x14ac:dyDescent="0.2">
      <c r="B378" s="368"/>
      <c r="D378" s="21"/>
      <c r="E378" s="25"/>
      <c r="F378" s="25"/>
      <c r="G378" s="12"/>
      <c r="J378" s="5"/>
      <c r="L378" s="461"/>
    </row>
    <row r="379" spans="2:12" s="3" customFormat="1" ht="11.25" customHeight="1" x14ac:dyDescent="0.2">
      <c r="B379" s="368"/>
      <c r="D379" s="21"/>
      <c r="E379" s="25"/>
      <c r="F379" s="25"/>
      <c r="G379" s="12"/>
      <c r="J379" s="5"/>
      <c r="L379" s="461"/>
    </row>
    <row r="380" spans="2:12" s="3" customFormat="1" ht="11.25" customHeight="1" x14ac:dyDescent="0.2">
      <c r="B380" s="368"/>
      <c r="D380" s="21"/>
      <c r="E380" s="25"/>
      <c r="F380" s="25"/>
      <c r="G380" s="12"/>
      <c r="J380" s="5"/>
      <c r="L380" s="461"/>
    </row>
    <row r="381" spans="2:12" s="3" customFormat="1" ht="11.25" customHeight="1" x14ac:dyDescent="0.2">
      <c r="B381" s="368"/>
      <c r="D381" s="21"/>
      <c r="E381" s="25"/>
      <c r="F381" s="25"/>
      <c r="G381" s="12"/>
      <c r="J381" s="5"/>
      <c r="L381" s="461"/>
    </row>
    <row r="382" spans="2:12" s="3" customFormat="1" ht="11.25" customHeight="1" x14ac:dyDescent="0.2">
      <c r="B382" s="368"/>
      <c r="D382" s="21"/>
      <c r="E382" s="25"/>
      <c r="F382" s="25"/>
      <c r="G382" s="12"/>
      <c r="J382" s="5"/>
      <c r="L382" s="461"/>
    </row>
    <row r="383" spans="2:12" s="3" customFormat="1" ht="11.25" customHeight="1" x14ac:dyDescent="0.2">
      <c r="B383" s="368"/>
      <c r="D383" s="21"/>
      <c r="E383" s="25"/>
      <c r="F383" s="25"/>
      <c r="G383" s="12"/>
      <c r="J383" s="5"/>
      <c r="L383" s="461"/>
    </row>
    <row r="384" spans="2:12" s="3" customFormat="1" ht="11.25" customHeight="1" x14ac:dyDescent="0.2">
      <c r="B384" s="368"/>
      <c r="D384" s="21"/>
      <c r="E384" s="25"/>
      <c r="F384" s="25"/>
      <c r="G384" s="12"/>
      <c r="J384" s="5"/>
      <c r="L384" s="461"/>
    </row>
    <row r="385" spans="2:12" s="3" customFormat="1" ht="11.25" customHeight="1" x14ac:dyDescent="0.2">
      <c r="B385" s="368"/>
      <c r="D385" s="21"/>
      <c r="E385" s="25"/>
      <c r="F385" s="25"/>
      <c r="G385" s="12"/>
      <c r="J385" s="5"/>
      <c r="L385" s="461"/>
    </row>
    <row r="386" spans="2:12" s="3" customFormat="1" ht="11.25" customHeight="1" x14ac:dyDescent="0.2">
      <c r="B386" s="368"/>
      <c r="D386" s="21"/>
      <c r="E386" s="25"/>
      <c r="F386" s="25"/>
      <c r="G386" s="12"/>
      <c r="J386" s="5"/>
      <c r="L386" s="461"/>
    </row>
    <row r="387" spans="2:12" s="3" customFormat="1" ht="11.25" customHeight="1" x14ac:dyDescent="0.2">
      <c r="B387" s="368"/>
      <c r="D387" s="21"/>
      <c r="E387" s="25"/>
      <c r="F387" s="25"/>
      <c r="G387" s="12"/>
      <c r="J387" s="5"/>
      <c r="L387" s="461"/>
    </row>
    <row r="388" spans="2:12" s="3" customFormat="1" ht="11.25" customHeight="1" x14ac:dyDescent="0.2">
      <c r="B388" s="368"/>
      <c r="D388" s="21"/>
      <c r="E388" s="25"/>
      <c r="F388" s="25"/>
      <c r="G388" s="12"/>
      <c r="J388" s="5"/>
      <c r="L388" s="461"/>
    </row>
    <row r="389" spans="2:12" s="3" customFormat="1" ht="11.25" customHeight="1" x14ac:dyDescent="0.2">
      <c r="B389" s="368"/>
      <c r="D389" s="21"/>
      <c r="E389" s="25"/>
      <c r="F389" s="25"/>
      <c r="G389" s="12"/>
      <c r="J389" s="5"/>
      <c r="L389" s="461"/>
    </row>
    <row r="390" spans="2:12" s="3" customFormat="1" ht="11.25" customHeight="1" x14ac:dyDescent="0.2">
      <c r="B390" s="368"/>
      <c r="D390" s="21"/>
      <c r="E390" s="25"/>
      <c r="F390" s="25"/>
      <c r="G390" s="12"/>
      <c r="J390" s="5"/>
      <c r="L390" s="461"/>
    </row>
    <row r="391" spans="2:12" s="3" customFormat="1" ht="11.25" customHeight="1" x14ac:dyDescent="0.2">
      <c r="B391" s="368"/>
      <c r="D391" s="21"/>
      <c r="E391" s="25"/>
      <c r="F391" s="25"/>
      <c r="G391" s="12"/>
      <c r="J391" s="5"/>
      <c r="L391" s="461"/>
    </row>
    <row r="392" spans="2:12" s="3" customFormat="1" ht="11.25" customHeight="1" x14ac:dyDescent="0.2">
      <c r="B392" s="368"/>
      <c r="D392" s="21"/>
      <c r="E392" s="25"/>
      <c r="F392" s="25"/>
      <c r="G392" s="12"/>
      <c r="J392" s="5"/>
      <c r="L392" s="461"/>
    </row>
    <row r="393" spans="2:12" s="3" customFormat="1" ht="11.25" customHeight="1" x14ac:dyDescent="0.2">
      <c r="B393" s="368"/>
      <c r="D393" s="21"/>
      <c r="E393" s="25"/>
      <c r="F393" s="25"/>
      <c r="G393" s="12"/>
      <c r="J393" s="5"/>
      <c r="L393" s="461"/>
    </row>
    <row r="394" spans="2:12" s="3" customFormat="1" ht="11.25" customHeight="1" x14ac:dyDescent="0.2">
      <c r="B394" s="368"/>
      <c r="D394" s="21"/>
      <c r="E394" s="25"/>
      <c r="F394" s="25"/>
      <c r="G394" s="12"/>
      <c r="J394" s="5"/>
      <c r="L394" s="461"/>
    </row>
    <row r="395" spans="2:12" s="3" customFormat="1" ht="11.25" customHeight="1" x14ac:dyDescent="0.2">
      <c r="B395" s="368"/>
      <c r="D395" s="21"/>
      <c r="E395" s="25"/>
      <c r="F395" s="25"/>
      <c r="G395" s="12"/>
      <c r="J395" s="5"/>
      <c r="L395" s="461"/>
    </row>
    <row r="396" spans="2:12" s="3" customFormat="1" ht="11.25" customHeight="1" x14ac:dyDescent="0.2">
      <c r="B396" s="368"/>
      <c r="D396" s="21"/>
      <c r="E396" s="25"/>
      <c r="F396" s="25"/>
      <c r="G396" s="12"/>
      <c r="J396" s="5"/>
      <c r="L396" s="461"/>
    </row>
    <row r="397" spans="2:12" s="3" customFormat="1" ht="11.25" customHeight="1" x14ac:dyDescent="0.2">
      <c r="B397" s="368"/>
      <c r="D397" s="21"/>
      <c r="E397" s="25"/>
      <c r="F397" s="25"/>
      <c r="G397" s="12"/>
      <c r="J397" s="5"/>
      <c r="L397" s="461"/>
    </row>
    <row r="398" spans="2:12" s="3" customFormat="1" ht="11.25" customHeight="1" x14ac:dyDescent="0.2">
      <c r="B398" s="368"/>
      <c r="D398" s="21"/>
      <c r="E398" s="25"/>
      <c r="F398" s="25"/>
      <c r="G398" s="12"/>
      <c r="J398" s="5"/>
      <c r="L398" s="461"/>
    </row>
    <row r="399" spans="2:12" s="3" customFormat="1" ht="11.25" customHeight="1" x14ac:dyDescent="0.2">
      <c r="B399" s="368"/>
      <c r="D399" s="21"/>
      <c r="E399" s="25"/>
      <c r="F399" s="25"/>
      <c r="G399" s="12"/>
      <c r="J399" s="5"/>
      <c r="L399" s="461"/>
    </row>
    <row r="400" spans="2:12" s="3" customFormat="1" ht="11.25" customHeight="1" x14ac:dyDescent="0.2">
      <c r="B400" s="368"/>
      <c r="D400" s="21"/>
      <c r="E400" s="25"/>
      <c r="F400" s="25"/>
      <c r="G400" s="12"/>
      <c r="J400" s="5"/>
      <c r="L400" s="461"/>
    </row>
    <row r="401" spans="2:12" s="3" customFormat="1" ht="11.25" customHeight="1" x14ac:dyDescent="0.2">
      <c r="B401" s="368"/>
      <c r="D401" s="21"/>
      <c r="E401" s="25"/>
      <c r="F401" s="25"/>
      <c r="G401" s="12"/>
      <c r="J401" s="5"/>
      <c r="L401" s="461"/>
    </row>
    <row r="402" spans="2:12" s="3" customFormat="1" ht="11.25" customHeight="1" x14ac:dyDescent="0.2">
      <c r="B402" s="368"/>
      <c r="D402" s="21"/>
      <c r="E402" s="25"/>
      <c r="F402" s="25"/>
      <c r="G402" s="12"/>
      <c r="J402" s="5"/>
      <c r="L402" s="461"/>
    </row>
    <row r="403" spans="2:12" s="3" customFormat="1" ht="11.25" customHeight="1" x14ac:dyDescent="0.2">
      <c r="B403" s="368"/>
      <c r="D403" s="21"/>
      <c r="E403" s="25"/>
      <c r="F403" s="25"/>
      <c r="G403" s="12"/>
      <c r="J403" s="5"/>
      <c r="L403" s="461"/>
    </row>
    <row r="404" spans="2:12" s="3" customFormat="1" ht="11.25" customHeight="1" x14ac:dyDescent="0.2">
      <c r="B404" s="368"/>
      <c r="D404" s="21"/>
      <c r="E404" s="25"/>
      <c r="F404" s="25"/>
      <c r="G404" s="12"/>
      <c r="J404" s="5"/>
      <c r="L404" s="461"/>
    </row>
    <row r="405" spans="2:12" s="3" customFormat="1" ht="11.25" customHeight="1" x14ac:dyDescent="0.2">
      <c r="B405" s="368"/>
      <c r="D405" s="21"/>
      <c r="E405" s="25"/>
      <c r="F405" s="25"/>
      <c r="G405" s="12"/>
      <c r="J405" s="5"/>
      <c r="L405" s="461"/>
    </row>
    <row r="406" spans="2:12" s="3" customFormat="1" ht="11.25" customHeight="1" x14ac:dyDescent="0.2">
      <c r="B406" s="368"/>
      <c r="D406" s="21"/>
      <c r="E406" s="25"/>
      <c r="F406" s="25"/>
      <c r="G406" s="12"/>
      <c r="J406" s="5"/>
      <c r="L406" s="461"/>
    </row>
    <row r="407" spans="2:12" s="3" customFormat="1" ht="11.25" customHeight="1" x14ac:dyDescent="0.2">
      <c r="B407" s="368"/>
      <c r="D407" s="21"/>
      <c r="E407" s="25"/>
      <c r="F407" s="25"/>
      <c r="G407" s="12"/>
      <c r="J407" s="5"/>
      <c r="L407" s="461"/>
    </row>
    <row r="408" spans="2:12" s="3" customFormat="1" ht="11.25" customHeight="1" x14ac:dyDescent="0.2">
      <c r="B408" s="368"/>
      <c r="D408" s="21"/>
      <c r="E408" s="25"/>
      <c r="F408" s="25"/>
      <c r="G408" s="12"/>
      <c r="J408" s="5"/>
      <c r="L408" s="461"/>
    </row>
    <row r="409" spans="2:12" s="3" customFormat="1" ht="11.25" customHeight="1" x14ac:dyDescent="0.2">
      <c r="B409" s="368"/>
      <c r="D409" s="21"/>
      <c r="E409" s="25"/>
      <c r="F409" s="25"/>
      <c r="G409" s="12"/>
      <c r="J409" s="5"/>
      <c r="L409" s="461"/>
    </row>
    <row r="410" spans="2:12" s="3" customFormat="1" ht="11.25" customHeight="1" x14ac:dyDescent="0.2">
      <c r="B410" s="368"/>
      <c r="D410" s="21"/>
      <c r="E410" s="25"/>
      <c r="F410" s="25"/>
      <c r="G410" s="12"/>
      <c r="J410" s="5"/>
      <c r="L410" s="461"/>
    </row>
    <row r="411" spans="2:12" s="3" customFormat="1" ht="11.25" customHeight="1" x14ac:dyDescent="0.2">
      <c r="B411" s="368"/>
      <c r="D411" s="21"/>
      <c r="E411" s="25"/>
      <c r="F411" s="25"/>
      <c r="G411" s="12"/>
      <c r="J411" s="5"/>
      <c r="L411" s="461"/>
    </row>
    <row r="412" spans="2:12" s="3" customFormat="1" ht="11.25" customHeight="1" x14ac:dyDescent="0.2">
      <c r="B412" s="368"/>
      <c r="D412" s="21"/>
      <c r="E412" s="25"/>
      <c r="F412" s="25"/>
      <c r="G412" s="12"/>
      <c r="J412" s="5"/>
      <c r="L412" s="461"/>
    </row>
    <row r="413" spans="2:12" s="3" customFormat="1" ht="11.25" customHeight="1" x14ac:dyDescent="0.2">
      <c r="B413" s="368"/>
      <c r="D413" s="21"/>
      <c r="E413" s="25"/>
      <c r="F413" s="25"/>
      <c r="G413" s="12"/>
      <c r="J413" s="5"/>
      <c r="L413" s="461"/>
    </row>
    <row r="414" spans="2:12" s="3" customFormat="1" ht="11.25" customHeight="1" x14ac:dyDescent="0.2">
      <c r="B414" s="368"/>
      <c r="D414" s="21"/>
      <c r="E414" s="25"/>
      <c r="F414" s="25"/>
      <c r="G414" s="12"/>
      <c r="J414" s="5"/>
      <c r="L414" s="461"/>
    </row>
    <row r="415" spans="2:12" s="3" customFormat="1" ht="11.25" customHeight="1" x14ac:dyDescent="0.2">
      <c r="B415" s="368"/>
      <c r="D415" s="21"/>
      <c r="E415" s="25"/>
      <c r="F415" s="25"/>
      <c r="G415" s="12"/>
      <c r="J415" s="5"/>
      <c r="L415" s="461"/>
    </row>
    <row r="416" spans="2:12" s="3" customFormat="1" ht="11.25" customHeight="1" x14ac:dyDescent="0.2">
      <c r="B416" s="368"/>
      <c r="D416" s="21"/>
      <c r="E416" s="25"/>
      <c r="F416" s="25"/>
      <c r="G416" s="12"/>
      <c r="J416" s="5"/>
      <c r="L416" s="461"/>
    </row>
    <row r="417" spans="2:12" s="3" customFormat="1" ht="11.25" customHeight="1" x14ac:dyDescent="0.2">
      <c r="B417" s="368"/>
      <c r="D417" s="21"/>
      <c r="E417" s="25"/>
      <c r="F417" s="25"/>
      <c r="G417" s="12"/>
      <c r="J417" s="5"/>
      <c r="L417" s="461"/>
    </row>
    <row r="418" spans="2:12" s="3" customFormat="1" ht="11.25" customHeight="1" x14ac:dyDescent="0.2">
      <c r="B418" s="368"/>
      <c r="D418" s="21"/>
      <c r="E418" s="25"/>
      <c r="F418" s="25"/>
      <c r="G418" s="12"/>
      <c r="J418" s="5"/>
      <c r="L418" s="461"/>
    </row>
    <row r="419" spans="2:12" s="3" customFormat="1" ht="11.25" customHeight="1" x14ac:dyDescent="0.2">
      <c r="B419" s="368"/>
      <c r="D419" s="21"/>
      <c r="E419" s="25"/>
      <c r="F419" s="25"/>
      <c r="G419" s="12"/>
      <c r="J419" s="5"/>
      <c r="L419" s="461"/>
    </row>
    <row r="420" spans="2:12" s="3" customFormat="1" ht="11.25" customHeight="1" x14ac:dyDescent="0.2">
      <c r="B420" s="368"/>
      <c r="D420" s="21"/>
      <c r="E420" s="25"/>
      <c r="F420" s="25"/>
      <c r="G420" s="12"/>
      <c r="J420" s="5"/>
      <c r="L420" s="461"/>
    </row>
    <row r="421" spans="2:12" s="3" customFormat="1" ht="11.25" customHeight="1" x14ac:dyDescent="0.2">
      <c r="B421" s="368"/>
      <c r="D421" s="21"/>
      <c r="E421" s="25"/>
      <c r="F421" s="25"/>
      <c r="G421" s="12"/>
      <c r="J421" s="5"/>
      <c r="L421" s="461"/>
    </row>
    <row r="422" spans="2:12" s="3" customFormat="1" ht="11.25" customHeight="1" x14ac:dyDescent="0.2">
      <c r="B422" s="368"/>
      <c r="D422" s="21"/>
      <c r="E422" s="25"/>
      <c r="F422" s="25"/>
      <c r="G422" s="12"/>
      <c r="J422" s="5"/>
      <c r="L422" s="461"/>
    </row>
    <row r="423" spans="2:12" s="3" customFormat="1" ht="11.25" customHeight="1" x14ac:dyDescent="0.2">
      <c r="B423" s="368"/>
      <c r="D423" s="21"/>
      <c r="E423" s="25"/>
      <c r="F423" s="25"/>
      <c r="G423" s="12"/>
      <c r="J423" s="5"/>
      <c r="L423" s="461"/>
    </row>
    <row r="424" spans="2:12" s="3" customFormat="1" ht="11.25" customHeight="1" x14ac:dyDescent="0.2">
      <c r="B424" s="368"/>
      <c r="D424" s="21"/>
      <c r="E424" s="25"/>
      <c r="F424" s="25"/>
      <c r="G424" s="12"/>
      <c r="J424" s="5"/>
      <c r="L424" s="461"/>
    </row>
    <row r="425" spans="2:12" s="3" customFormat="1" ht="11.25" customHeight="1" x14ac:dyDescent="0.2">
      <c r="B425" s="368"/>
      <c r="D425" s="21"/>
      <c r="E425" s="25"/>
      <c r="F425" s="25"/>
      <c r="G425" s="12"/>
      <c r="J425" s="5"/>
      <c r="L425" s="461"/>
    </row>
    <row r="426" spans="2:12" s="3" customFormat="1" ht="11.25" customHeight="1" x14ac:dyDescent="0.2">
      <c r="B426" s="368"/>
      <c r="D426" s="21"/>
      <c r="E426" s="25"/>
      <c r="F426" s="25"/>
      <c r="G426" s="12"/>
      <c r="J426" s="5"/>
      <c r="L426" s="461"/>
    </row>
    <row r="427" spans="2:12" s="3" customFormat="1" ht="11.25" customHeight="1" x14ac:dyDescent="0.2">
      <c r="B427" s="368"/>
      <c r="D427" s="21"/>
      <c r="E427" s="25"/>
      <c r="F427" s="25"/>
      <c r="G427" s="12"/>
      <c r="J427" s="5"/>
      <c r="L427" s="461"/>
    </row>
    <row r="428" spans="2:12" s="3" customFormat="1" ht="11.25" customHeight="1" x14ac:dyDescent="0.2">
      <c r="B428" s="368"/>
      <c r="D428" s="21"/>
      <c r="E428" s="25"/>
      <c r="F428" s="25"/>
      <c r="G428" s="12"/>
      <c r="J428" s="5"/>
      <c r="L428" s="461"/>
    </row>
    <row r="429" spans="2:12" s="3" customFormat="1" ht="11.25" customHeight="1" x14ac:dyDescent="0.2">
      <c r="B429" s="368"/>
      <c r="D429" s="21"/>
      <c r="E429" s="25"/>
      <c r="F429" s="25"/>
      <c r="G429" s="12"/>
      <c r="J429" s="5"/>
      <c r="L429" s="461"/>
    </row>
    <row r="430" spans="2:12" s="3" customFormat="1" ht="11.25" customHeight="1" x14ac:dyDescent="0.2">
      <c r="B430" s="368"/>
      <c r="D430" s="21"/>
      <c r="E430" s="25"/>
      <c r="F430" s="25"/>
      <c r="G430" s="12"/>
      <c r="J430" s="5"/>
      <c r="L430" s="461"/>
    </row>
    <row r="431" spans="2:12" s="3" customFormat="1" ht="11.25" customHeight="1" x14ac:dyDescent="0.2">
      <c r="B431" s="368"/>
      <c r="D431" s="21"/>
      <c r="E431" s="25"/>
      <c r="F431" s="25"/>
      <c r="G431" s="12"/>
      <c r="J431" s="5"/>
      <c r="L431" s="461"/>
    </row>
    <row r="432" spans="2:12" s="3" customFormat="1" ht="11.25" customHeight="1" x14ac:dyDescent="0.2">
      <c r="B432" s="368"/>
      <c r="D432" s="21"/>
      <c r="E432" s="25"/>
      <c r="F432" s="25"/>
      <c r="G432" s="12"/>
      <c r="J432" s="5"/>
      <c r="L432" s="461"/>
    </row>
    <row r="433" spans="2:12" s="3" customFormat="1" ht="11.25" customHeight="1" x14ac:dyDescent="0.2">
      <c r="B433" s="368"/>
      <c r="D433" s="21"/>
      <c r="E433" s="25"/>
      <c r="F433" s="25"/>
      <c r="G433" s="12"/>
      <c r="J433" s="5"/>
      <c r="L433" s="461"/>
    </row>
    <row r="434" spans="2:12" s="3" customFormat="1" ht="11.25" customHeight="1" x14ac:dyDescent="0.2">
      <c r="B434" s="368"/>
      <c r="D434" s="21"/>
      <c r="E434" s="25"/>
      <c r="F434" s="25"/>
      <c r="G434" s="12"/>
      <c r="J434" s="5"/>
      <c r="L434" s="461"/>
    </row>
    <row r="435" spans="2:12" s="3" customFormat="1" ht="11.25" customHeight="1" x14ac:dyDescent="0.2">
      <c r="B435" s="368"/>
      <c r="D435" s="21"/>
      <c r="E435" s="25"/>
      <c r="F435" s="25"/>
      <c r="G435" s="12"/>
      <c r="J435" s="5"/>
      <c r="L435" s="461"/>
    </row>
    <row r="436" spans="2:12" s="3" customFormat="1" ht="11.25" customHeight="1" x14ac:dyDescent="0.2">
      <c r="B436" s="368"/>
      <c r="D436" s="21"/>
      <c r="E436" s="25"/>
      <c r="F436" s="25"/>
      <c r="G436" s="12"/>
      <c r="J436" s="5"/>
      <c r="L436" s="461"/>
    </row>
    <row r="437" spans="2:12" s="3" customFormat="1" ht="11.25" customHeight="1" x14ac:dyDescent="0.2">
      <c r="B437" s="368"/>
      <c r="D437" s="21"/>
      <c r="E437" s="25"/>
      <c r="F437" s="25"/>
      <c r="G437" s="12"/>
      <c r="J437" s="5"/>
      <c r="L437" s="461"/>
    </row>
    <row r="438" spans="2:12" s="3" customFormat="1" ht="11.25" customHeight="1" x14ac:dyDescent="0.2">
      <c r="B438" s="368"/>
      <c r="D438" s="21"/>
      <c r="E438" s="25"/>
      <c r="F438" s="25"/>
      <c r="G438" s="12"/>
      <c r="J438" s="5"/>
      <c r="L438" s="461"/>
    </row>
    <row r="439" spans="2:12" s="3" customFormat="1" ht="11.25" customHeight="1" x14ac:dyDescent="0.2">
      <c r="B439" s="368"/>
      <c r="D439" s="21"/>
      <c r="E439" s="25"/>
      <c r="F439" s="25"/>
      <c r="G439" s="12"/>
      <c r="J439" s="5"/>
      <c r="L439" s="461"/>
    </row>
    <row r="440" spans="2:12" s="3" customFormat="1" ht="11.25" customHeight="1" x14ac:dyDescent="0.2">
      <c r="B440" s="368"/>
      <c r="D440" s="21"/>
      <c r="E440" s="25"/>
      <c r="F440" s="25"/>
      <c r="G440" s="12"/>
      <c r="J440" s="5"/>
      <c r="L440" s="461"/>
    </row>
    <row r="441" spans="2:12" s="3" customFormat="1" ht="11.25" customHeight="1" x14ac:dyDescent="0.2">
      <c r="B441" s="368"/>
      <c r="D441" s="21"/>
      <c r="E441" s="25"/>
      <c r="F441" s="25"/>
      <c r="G441" s="12"/>
      <c r="J441" s="5"/>
      <c r="L441" s="461"/>
    </row>
    <row r="442" spans="2:12" s="3" customFormat="1" ht="11.25" customHeight="1" x14ac:dyDescent="0.2">
      <c r="B442" s="368"/>
      <c r="D442" s="21"/>
      <c r="E442" s="25"/>
      <c r="F442" s="25"/>
      <c r="G442" s="12"/>
      <c r="J442" s="5"/>
      <c r="L442" s="461"/>
    </row>
    <row r="443" spans="2:12" s="3" customFormat="1" ht="11.25" customHeight="1" x14ac:dyDescent="0.2">
      <c r="B443" s="368"/>
      <c r="D443" s="21"/>
      <c r="E443" s="25"/>
      <c r="F443" s="25"/>
      <c r="G443" s="12"/>
      <c r="J443" s="5"/>
      <c r="L443" s="461"/>
    </row>
    <row r="444" spans="2:12" s="3" customFormat="1" ht="11.25" customHeight="1" x14ac:dyDescent="0.2">
      <c r="B444" s="368"/>
      <c r="D444" s="21"/>
      <c r="E444" s="25"/>
      <c r="F444" s="25"/>
      <c r="G444" s="12"/>
      <c r="J444" s="5"/>
      <c r="L444" s="461"/>
    </row>
    <row r="445" spans="2:12" s="3" customFormat="1" ht="11.25" customHeight="1" x14ac:dyDescent="0.2">
      <c r="B445" s="368"/>
      <c r="D445" s="21"/>
      <c r="E445" s="25"/>
      <c r="F445" s="25"/>
      <c r="G445" s="12"/>
      <c r="J445" s="5"/>
      <c r="L445" s="461"/>
    </row>
    <row r="446" spans="2:12" s="3" customFormat="1" ht="11.25" customHeight="1" x14ac:dyDescent="0.2">
      <c r="B446" s="368"/>
      <c r="D446" s="21"/>
      <c r="E446" s="25"/>
      <c r="F446" s="25"/>
      <c r="G446" s="12"/>
      <c r="J446" s="5"/>
      <c r="L446" s="461"/>
    </row>
    <row r="447" spans="2:12" s="3" customFormat="1" ht="11.25" customHeight="1" x14ac:dyDescent="0.2">
      <c r="B447" s="368"/>
      <c r="D447" s="21"/>
      <c r="E447" s="25"/>
      <c r="F447" s="25"/>
      <c r="G447" s="12"/>
      <c r="J447" s="5"/>
      <c r="L447" s="461"/>
    </row>
    <row r="448" spans="2:12" s="3" customFormat="1" ht="11.25" customHeight="1" x14ac:dyDescent="0.2">
      <c r="B448" s="368"/>
      <c r="D448" s="21"/>
      <c r="E448" s="25"/>
      <c r="F448" s="25"/>
      <c r="G448" s="12"/>
      <c r="J448" s="5"/>
      <c r="L448" s="461"/>
    </row>
    <row r="449" spans="2:12" s="3" customFormat="1" ht="11.25" customHeight="1" x14ac:dyDescent="0.2">
      <c r="B449" s="368"/>
      <c r="D449" s="21"/>
      <c r="E449" s="25"/>
      <c r="F449" s="25"/>
      <c r="G449" s="12"/>
      <c r="J449" s="5"/>
      <c r="L449" s="461"/>
    </row>
    <row r="450" spans="2:12" s="3" customFormat="1" ht="11.25" customHeight="1" x14ac:dyDescent="0.2">
      <c r="B450" s="368"/>
      <c r="D450" s="21"/>
      <c r="E450" s="25"/>
      <c r="F450" s="25"/>
      <c r="G450" s="12"/>
      <c r="J450" s="5"/>
      <c r="L450" s="461"/>
    </row>
    <row r="451" spans="2:12" s="3" customFormat="1" ht="11.25" customHeight="1" x14ac:dyDescent="0.2">
      <c r="B451" s="368"/>
      <c r="D451" s="21"/>
      <c r="E451" s="25"/>
      <c r="F451" s="25"/>
      <c r="G451" s="12"/>
      <c r="J451" s="5"/>
      <c r="L451" s="461"/>
    </row>
    <row r="452" spans="2:12" s="3" customFormat="1" ht="11.25" customHeight="1" x14ac:dyDescent="0.2">
      <c r="B452" s="368"/>
      <c r="D452" s="21"/>
      <c r="E452" s="25"/>
      <c r="F452" s="25"/>
      <c r="G452" s="12"/>
      <c r="J452" s="5"/>
      <c r="L452" s="461"/>
    </row>
    <row r="453" spans="2:12" s="3" customFormat="1" ht="11.25" customHeight="1" x14ac:dyDescent="0.2">
      <c r="B453" s="368"/>
      <c r="D453" s="21"/>
      <c r="E453" s="25"/>
      <c r="F453" s="25"/>
      <c r="G453" s="12"/>
      <c r="J453" s="5"/>
      <c r="L453" s="461"/>
    </row>
    <row r="454" spans="2:12" s="3" customFormat="1" ht="11.25" customHeight="1" x14ac:dyDescent="0.2">
      <c r="B454" s="368"/>
      <c r="D454" s="21"/>
      <c r="E454" s="25"/>
      <c r="F454" s="25"/>
      <c r="G454" s="12"/>
      <c r="J454" s="5"/>
      <c r="L454" s="461"/>
    </row>
    <row r="455" spans="2:12" s="3" customFormat="1" ht="11.25" customHeight="1" x14ac:dyDescent="0.2">
      <c r="B455" s="368"/>
      <c r="D455" s="21"/>
      <c r="E455" s="25"/>
      <c r="F455" s="25"/>
      <c r="G455" s="12"/>
      <c r="J455" s="5"/>
      <c r="L455" s="461"/>
    </row>
    <row r="456" spans="2:12" s="3" customFormat="1" ht="11.25" customHeight="1" x14ac:dyDescent="0.2">
      <c r="B456" s="368"/>
      <c r="D456" s="21"/>
      <c r="E456" s="25"/>
      <c r="F456" s="25"/>
      <c r="G456" s="12"/>
      <c r="J456" s="5"/>
      <c r="L456" s="461"/>
    </row>
    <row r="457" spans="2:12" s="3" customFormat="1" ht="11.25" customHeight="1" x14ac:dyDescent="0.2">
      <c r="B457" s="368"/>
      <c r="D457" s="21"/>
      <c r="E457" s="25"/>
      <c r="F457" s="25"/>
      <c r="G457" s="12"/>
      <c r="J457" s="5"/>
      <c r="L457" s="461"/>
    </row>
    <row r="458" spans="2:12" s="3" customFormat="1" ht="11.25" customHeight="1" x14ac:dyDescent="0.2">
      <c r="B458" s="368"/>
      <c r="D458" s="21"/>
      <c r="E458" s="25"/>
      <c r="F458" s="25"/>
      <c r="G458" s="12"/>
      <c r="J458" s="5"/>
      <c r="L458" s="461"/>
    </row>
    <row r="459" spans="2:12" s="3" customFormat="1" ht="11.25" customHeight="1" x14ac:dyDescent="0.2">
      <c r="B459" s="368"/>
      <c r="D459" s="21"/>
      <c r="E459" s="25"/>
      <c r="F459" s="25"/>
      <c r="G459" s="12"/>
      <c r="J459" s="5"/>
      <c r="L459" s="461"/>
    </row>
    <row r="460" spans="2:12" s="3" customFormat="1" ht="11.25" customHeight="1" x14ac:dyDescent="0.2">
      <c r="B460" s="368"/>
      <c r="D460" s="21"/>
      <c r="E460" s="25"/>
      <c r="F460" s="25"/>
      <c r="G460" s="12"/>
      <c r="J460" s="5"/>
      <c r="L460" s="461"/>
    </row>
    <row r="461" spans="2:12" s="3" customFormat="1" ht="11.25" customHeight="1" x14ac:dyDescent="0.2">
      <c r="B461" s="368"/>
      <c r="D461" s="21"/>
      <c r="E461" s="25"/>
      <c r="F461" s="25"/>
      <c r="G461" s="12"/>
      <c r="J461" s="5"/>
      <c r="L461" s="461"/>
    </row>
    <row r="462" spans="2:12" s="3" customFormat="1" ht="11.25" customHeight="1" x14ac:dyDescent="0.2">
      <c r="B462" s="368"/>
      <c r="D462" s="21"/>
      <c r="E462" s="25"/>
      <c r="F462" s="25"/>
      <c r="G462" s="12"/>
      <c r="J462" s="5"/>
      <c r="L462" s="461"/>
    </row>
    <row r="463" spans="2:12" s="3" customFormat="1" ht="11.25" customHeight="1" x14ac:dyDescent="0.2">
      <c r="B463" s="368"/>
      <c r="D463" s="21"/>
      <c r="E463" s="25"/>
      <c r="F463" s="25"/>
      <c r="G463" s="12"/>
      <c r="J463" s="5"/>
      <c r="L463" s="461"/>
    </row>
    <row r="464" spans="2:12" s="3" customFormat="1" ht="11.25" customHeight="1" x14ac:dyDescent="0.2">
      <c r="B464" s="368"/>
      <c r="D464" s="21"/>
      <c r="E464" s="25"/>
      <c r="F464" s="25"/>
      <c r="G464" s="12"/>
      <c r="J464" s="5"/>
      <c r="L464" s="461"/>
    </row>
    <row r="465" spans="2:12" s="3" customFormat="1" ht="11.25" customHeight="1" x14ac:dyDescent="0.2">
      <c r="B465" s="368"/>
      <c r="D465" s="21"/>
      <c r="E465" s="25"/>
      <c r="F465" s="25"/>
      <c r="G465" s="12"/>
      <c r="J465" s="5"/>
      <c r="L465" s="461"/>
    </row>
    <row r="466" spans="2:12" s="3" customFormat="1" ht="11.25" customHeight="1" x14ac:dyDescent="0.2">
      <c r="B466" s="368"/>
      <c r="D466" s="21"/>
      <c r="E466" s="25"/>
      <c r="F466" s="25"/>
      <c r="G466" s="12"/>
      <c r="J466" s="5"/>
      <c r="L466" s="461"/>
    </row>
    <row r="467" spans="2:12" s="3" customFormat="1" ht="11.25" customHeight="1" x14ac:dyDescent="0.2">
      <c r="B467" s="368"/>
      <c r="D467" s="21"/>
      <c r="E467" s="25"/>
      <c r="F467" s="25"/>
      <c r="G467" s="12"/>
      <c r="J467" s="5"/>
      <c r="L467" s="461"/>
    </row>
    <row r="468" spans="2:12" s="3" customFormat="1" ht="11.25" customHeight="1" x14ac:dyDescent="0.2">
      <c r="B468" s="368"/>
      <c r="D468" s="21"/>
      <c r="E468" s="25"/>
      <c r="F468" s="25"/>
      <c r="G468" s="12"/>
      <c r="J468" s="5"/>
      <c r="L468" s="461"/>
    </row>
    <row r="469" spans="2:12" s="3" customFormat="1" ht="11.25" customHeight="1" x14ac:dyDescent="0.2">
      <c r="B469" s="368"/>
      <c r="D469" s="21"/>
      <c r="E469" s="25"/>
      <c r="F469" s="25"/>
      <c r="G469" s="12"/>
      <c r="J469" s="5"/>
      <c r="L469" s="461"/>
    </row>
    <row r="470" spans="2:12" s="3" customFormat="1" ht="11.25" customHeight="1" x14ac:dyDescent="0.2">
      <c r="B470" s="368"/>
      <c r="D470" s="21"/>
      <c r="E470" s="25"/>
      <c r="F470" s="25"/>
      <c r="G470" s="12"/>
      <c r="J470" s="5"/>
      <c r="L470" s="461"/>
    </row>
    <row r="471" spans="2:12" s="3" customFormat="1" ht="11.25" customHeight="1" x14ac:dyDescent="0.2">
      <c r="B471" s="368"/>
      <c r="D471" s="21"/>
      <c r="E471" s="25"/>
      <c r="F471" s="25"/>
      <c r="G471" s="12"/>
      <c r="J471" s="5"/>
      <c r="L471" s="461"/>
    </row>
    <row r="472" spans="2:12" s="3" customFormat="1" ht="11.25" customHeight="1" x14ac:dyDescent="0.2">
      <c r="B472" s="368"/>
      <c r="D472" s="21"/>
      <c r="E472" s="25"/>
      <c r="F472" s="25"/>
      <c r="G472" s="12"/>
      <c r="J472" s="5"/>
      <c r="L472" s="461"/>
    </row>
    <row r="473" spans="2:12" s="3" customFormat="1" ht="11.25" customHeight="1" x14ac:dyDescent="0.2">
      <c r="B473" s="368"/>
      <c r="D473" s="21"/>
      <c r="E473" s="25"/>
      <c r="F473" s="25"/>
      <c r="G473" s="12"/>
      <c r="J473" s="5"/>
      <c r="L473" s="461"/>
    </row>
    <row r="474" spans="2:12" s="3" customFormat="1" ht="11.25" customHeight="1" x14ac:dyDescent="0.2">
      <c r="B474" s="368"/>
      <c r="D474" s="21"/>
      <c r="E474" s="25"/>
      <c r="F474" s="25"/>
      <c r="G474" s="12"/>
      <c r="J474" s="5"/>
      <c r="L474" s="461"/>
    </row>
    <row r="475" spans="2:12" s="3" customFormat="1" ht="11.25" customHeight="1" x14ac:dyDescent="0.2">
      <c r="B475" s="368"/>
      <c r="D475" s="21"/>
      <c r="E475" s="25"/>
      <c r="F475" s="25"/>
      <c r="G475" s="12"/>
      <c r="J475" s="5"/>
      <c r="L475" s="461"/>
    </row>
    <row r="476" spans="2:12" s="3" customFormat="1" ht="11.25" customHeight="1" x14ac:dyDescent="0.2">
      <c r="B476" s="368"/>
      <c r="D476" s="21"/>
      <c r="E476" s="25"/>
      <c r="F476" s="25"/>
      <c r="G476" s="12"/>
      <c r="J476" s="5"/>
      <c r="L476" s="461"/>
    </row>
    <row r="477" spans="2:12" s="3" customFormat="1" ht="11.25" customHeight="1" x14ac:dyDescent="0.2">
      <c r="B477" s="368"/>
      <c r="D477" s="21"/>
      <c r="E477" s="25"/>
      <c r="F477" s="25"/>
      <c r="G477" s="12"/>
      <c r="J477" s="5"/>
      <c r="L477" s="461"/>
    </row>
    <row r="478" spans="2:12" s="3" customFormat="1" ht="11.25" customHeight="1" x14ac:dyDescent="0.2">
      <c r="B478" s="368"/>
      <c r="D478" s="21"/>
      <c r="E478" s="25"/>
      <c r="F478" s="25"/>
      <c r="G478" s="12"/>
      <c r="J478" s="5"/>
      <c r="L478" s="461"/>
    </row>
    <row r="479" spans="2:12" s="3" customFormat="1" ht="11.25" customHeight="1" x14ac:dyDescent="0.2">
      <c r="B479" s="368"/>
      <c r="D479" s="21"/>
      <c r="E479" s="25"/>
      <c r="F479" s="25"/>
      <c r="G479" s="12"/>
      <c r="J479" s="5"/>
      <c r="L479" s="461"/>
    </row>
    <row r="480" spans="2:12" s="3" customFormat="1" ht="11.25" customHeight="1" x14ac:dyDescent="0.2">
      <c r="B480" s="368"/>
      <c r="D480" s="21"/>
      <c r="E480" s="25"/>
      <c r="F480" s="25"/>
      <c r="G480" s="12"/>
      <c r="J480" s="5"/>
      <c r="L480" s="461"/>
    </row>
    <row r="481" spans="2:12" s="3" customFormat="1" ht="11.25" customHeight="1" x14ac:dyDescent="0.2">
      <c r="B481" s="368"/>
      <c r="D481" s="21"/>
      <c r="E481" s="25"/>
      <c r="F481" s="25"/>
      <c r="G481" s="12"/>
      <c r="J481" s="5"/>
      <c r="L481" s="461"/>
    </row>
    <row r="482" spans="2:12" s="3" customFormat="1" ht="11.25" customHeight="1" x14ac:dyDescent="0.2">
      <c r="B482" s="368"/>
      <c r="D482" s="21"/>
      <c r="E482" s="25"/>
      <c r="F482" s="25"/>
      <c r="G482" s="12"/>
      <c r="J482" s="5"/>
      <c r="L482" s="461"/>
    </row>
    <row r="483" spans="2:12" s="3" customFormat="1" ht="11.25" customHeight="1" x14ac:dyDescent="0.2">
      <c r="B483" s="368"/>
      <c r="D483" s="21"/>
      <c r="E483" s="25"/>
      <c r="F483" s="25"/>
      <c r="G483" s="12"/>
      <c r="J483" s="5"/>
      <c r="L483" s="461"/>
    </row>
    <row r="484" spans="2:12" s="3" customFormat="1" ht="11.25" customHeight="1" x14ac:dyDescent="0.2">
      <c r="B484" s="368"/>
      <c r="D484" s="21"/>
      <c r="E484" s="25"/>
      <c r="F484" s="25"/>
      <c r="G484" s="12"/>
      <c r="J484" s="5"/>
      <c r="L484" s="461"/>
    </row>
    <row r="485" spans="2:12" s="3" customFormat="1" ht="11.25" customHeight="1" x14ac:dyDescent="0.2">
      <c r="B485" s="368"/>
      <c r="D485" s="21"/>
      <c r="E485" s="25"/>
      <c r="F485" s="25"/>
      <c r="G485" s="12"/>
      <c r="J485" s="5"/>
      <c r="L485" s="461"/>
    </row>
    <row r="486" spans="2:12" s="3" customFormat="1" ht="11.25" customHeight="1" x14ac:dyDescent="0.2">
      <c r="B486" s="368"/>
      <c r="D486" s="21"/>
      <c r="E486" s="25"/>
      <c r="F486" s="25"/>
      <c r="G486" s="12"/>
      <c r="J486" s="5"/>
      <c r="L486" s="461"/>
    </row>
    <row r="487" spans="2:12" s="3" customFormat="1" ht="11.25" customHeight="1" x14ac:dyDescent="0.2">
      <c r="B487" s="368"/>
      <c r="D487" s="21"/>
      <c r="E487" s="25"/>
      <c r="F487" s="25"/>
      <c r="G487" s="12"/>
      <c r="J487" s="5"/>
      <c r="L487" s="461"/>
    </row>
    <row r="488" spans="2:12" s="3" customFormat="1" ht="11.25" customHeight="1" x14ac:dyDescent="0.2">
      <c r="B488" s="368"/>
      <c r="D488" s="21"/>
      <c r="E488" s="25"/>
      <c r="F488" s="25"/>
      <c r="G488" s="12"/>
      <c r="J488" s="5"/>
      <c r="L488" s="461"/>
    </row>
    <row r="489" spans="2:12" s="3" customFormat="1" ht="11.25" customHeight="1" x14ac:dyDescent="0.2">
      <c r="B489" s="368"/>
      <c r="D489" s="21"/>
      <c r="E489" s="25"/>
      <c r="F489" s="25"/>
      <c r="G489" s="12"/>
      <c r="J489" s="5"/>
      <c r="L489" s="461"/>
    </row>
    <row r="490" spans="2:12" s="3" customFormat="1" ht="11.25" customHeight="1" x14ac:dyDescent="0.2">
      <c r="B490" s="368"/>
      <c r="D490" s="21"/>
      <c r="E490" s="25"/>
      <c r="F490" s="25"/>
      <c r="G490" s="12"/>
      <c r="J490" s="5"/>
      <c r="L490" s="461"/>
    </row>
    <row r="491" spans="2:12" s="3" customFormat="1" ht="11.25" customHeight="1" x14ac:dyDescent="0.2">
      <c r="B491" s="368"/>
      <c r="D491" s="21"/>
      <c r="E491" s="25"/>
      <c r="F491" s="25"/>
      <c r="G491" s="12"/>
      <c r="J491" s="5"/>
      <c r="L491" s="461"/>
    </row>
    <row r="492" spans="2:12" s="3" customFormat="1" ht="11.25" customHeight="1" x14ac:dyDescent="0.2">
      <c r="B492" s="368"/>
      <c r="D492" s="21"/>
      <c r="E492" s="25"/>
      <c r="F492" s="25"/>
      <c r="G492" s="12"/>
      <c r="J492" s="5"/>
      <c r="L492" s="461"/>
    </row>
    <row r="493" spans="2:12" s="3" customFormat="1" ht="11.25" customHeight="1" x14ac:dyDescent="0.2">
      <c r="B493" s="368"/>
      <c r="D493" s="21"/>
      <c r="E493" s="25"/>
      <c r="F493" s="25"/>
      <c r="G493" s="12"/>
      <c r="J493" s="5"/>
      <c r="L493" s="461"/>
    </row>
    <row r="494" spans="2:12" s="3" customFormat="1" ht="11.25" customHeight="1" x14ac:dyDescent="0.2">
      <c r="B494" s="368"/>
      <c r="D494" s="21"/>
      <c r="E494" s="25"/>
      <c r="F494" s="25"/>
      <c r="G494" s="12"/>
      <c r="J494" s="5"/>
      <c r="L494" s="461"/>
    </row>
    <row r="495" spans="2:12" s="3" customFormat="1" ht="11.25" customHeight="1" x14ac:dyDescent="0.2">
      <c r="B495" s="368"/>
      <c r="D495" s="21"/>
      <c r="E495" s="25"/>
      <c r="F495" s="25"/>
      <c r="G495" s="12"/>
      <c r="J495" s="5"/>
      <c r="L495" s="461"/>
    </row>
    <row r="496" spans="2:12" s="3" customFormat="1" ht="11.25" customHeight="1" x14ac:dyDescent="0.2">
      <c r="B496" s="368"/>
      <c r="D496" s="21"/>
      <c r="E496" s="25"/>
      <c r="F496" s="25"/>
      <c r="G496" s="12"/>
      <c r="J496" s="5"/>
      <c r="L496" s="461"/>
    </row>
    <row r="497" spans="2:12" s="3" customFormat="1" ht="11.25" customHeight="1" x14ac:dyDescent="0.2">
      <c r="B497" s="368"/>
      <c r="D497" s="21"/>
      <c r="E497" s="25"/>
      <c r="F497" s="25"/>
      <c r="G497" s="12"/>
      <c r="J497" s="5"/>
      <c r="L497" s="461"/>
    </row>
    <row r="498" spans="2:12" s="3" customFormat="1" ht="11.25" customHeight="1" x14ac:dyDescent="0.2">
      <c r="B498" s="368"/>
      <c r="D498" s="21"/>
      <c r="E498" s="25"/>
      <c r="F498" s="25"/>
      <c r="G498" s="12"/>
      <c r="J498" s="5"/>
      <c r="L498" s="461"/>
    </row>
    <row r="499" spans="2:12" s="3" customFormat="1" ht="11.25" customHeight="1" x14ac:dyDescent="0.2">
      <c r="B499" s="368"/>
      <c r="D499" s="21"/>
      <c r="E499" s="25"/>
      <c r="F499" s="25"/>
      <c r="G499" s="12"/>
      <c r="J499" s="5"/>
      <c r="L499" s="461"/>
    </row>
    <row r="500" spans="2:12" s="3" customFormat="1" ht="11.25" customHeight="1" x14ac:dyDescent="0.2">
      <c r="B500" s="368"/>
      <c r="D500" s="21"/>
      <c r="E500" s="25"/>
      <c r="F500" s="25"/>
      <c r="G500" s="12"/>
      <c r="J500" s="5"/>
      <c r="L500" s="461"/>
    </row>
    <row r="501" spans="2:12" s="3" customFormat="1" ht="11.25" customHeight="1" x14ac:dyDescent="0.2">
      <c r="B501" s="368"/>
      <c r="D501" s="21"/>
      <c r="E501" s="25"/>
      <c r="F501" s="25"/>
      <c r="G501" s="12"/>
      <c r="J501" s="5"/>
      <c r="L501" s="461"/>
    </row>
    <row r="502" spans="2:12" s="3" customFormat="1" ht="11.25" customHeight="1" x14ac:dyDescent="0.2">
      <c r="B502" s="368"/>
      <c r="D502" s="21"/>
      <c r="E502" s="25"/>
      <c r="F502" s="25"/>
      <c r="G502" s="12"/>
      <c r="J502" s="5"/>
      <c r="L502" s="461"/>
    </row>
    <row r="503" spans="2:12" s="3" customFormat="1" ht="11.25" customHeight="1" x14ac:dyDescent="0.2">
      <c r="B503" s="368"/>
      <c r="D503" s="21"/>
      <c r="E503" s="25"/>
      <c r="F503" s="25"/>
      <c r="G503" s="12"/>
      <c r="J503" s="5"/>
      <c r="L503" s="461"/>
    </row>
    <row r="504" spans="2:12" s="3" customFormat="1" ht="11.25" customHeight="1" x14ac:dyDescent="0.2">
      <c r="B504" s="368"/>
      <c r="D504" s="21"/>
      <c r="E504" s="25"/>
      <c r="F504" s="25"/>
      <c r="G504" s="12"/>
      <c r="J504" s="5"/>
      <c r="L504" s="461"/>
    </row>
    <row r="505" spans="2:12" s="3" customFormat="1" ht="11.25" customHeight="1" x14ac:dyDescent="0.2">
      <c r="B505" s="368"/>
      <c r="D505" s="21"/>
      <c r="E505" s="25"/>
      <c r="F505" s="25"/>
      <c r="G505" s="12"/>
      <c r="J505" s="5"/>
      <c r="L505" s="461"/>
    </row>
    <row r="506" spans="2:12" s="3" customFormat="1" ht="11.25" customHeight="1" x14ac:dyDescent="0.2">
      <c r="B506" s="368"/>
      <c r="D506" s="21"/>
      <c r="E506" s="25"/>
      <c r="F506" s="25"/>
      <c r="G506" s="12"/>
      <c r="J506" s="5"/>
      <c r="L506" s="461"/>
    </row>
    <row r="507" spans="2:12" s="3" customFormat="1" ht="11.25" customHeight="1" x14ac:dyDescent="0.2">
      <c r="B507" s="368"/>
      <c r="D507" s="21"/>
      <c r="E507" s="25"/>
      <c r="F507" s="25"/>
      <c r="G507" s="12"/>
      <c r="J507" s="5"/>
      <c r="L507" s="461"/>
    </row>
    <row r="508" spans="2:12" s="3" customFormat="1" ht="11.25" customHeight="1" x14ac:dyDescent="0.2">
      <c r="B508" s="368"/>
      <c r="D508" s="21"/>
      <c r="E508" s="25"/>
      <c r="F508" s="25"/>
      <c r="G508" s="12"/>
      <c r="J508" s="5"/>
      <c r="L508" s="461"/>
    </row>
    <row r="509" spans="2:12" s="3" customFormat="1" ht="11.25" customHeight="1" x14ac:dyDescent="0.2">
      <c r="B509" s="368"/>
      <c r="D509" s="21"/>
      <c r="E509" s="25"/>
      <c r="F509" s="25"/>
      <c r="G509" s="12"/>
      <c r="J509" s="5"/>
      <c r="L509" s="461"/>
    </row>
    <row r="510" spans="2:12" s="3" customFormat="1" ht="11.25" customHeight="1" x14ac:dyDescent="0.2">
      <c r="B510" s="368"/>
      <c r="D510" s="21"/>
      <c r="E510" s="25"/>
      <c r="F510" s="25"/>
      <c r="G510" s="12"/>
      <c r="J510" s="5"/>
      <c r="L510" s="461"/>
    </row>
    <row r="511" spans="2:12" s="3" customFormat="1" ht="11.25" customHeight="1" x14ac:dyDescent="0.2">
      <c r="B511" s="368"/>
      <c r="D511" s="21"/>
      <c r="E511" s="25"/>
      <c r="F511" s="25"/>
      <c r="G511" s="12"/>
      <c r="J511" s="5"/>
      <c r="L511" s="461"/>
    </row>
    <row r="512" spans="2:12" s="3" customFormat="1" ht="11.25" customHeight="1" x14ac:dyDescent="0.2">
      <c r="B512" s="368"/>
      <c r="D512" s="21"/>
      <c r="E512" s="25"/>
      <c r="F512" s="25"/>
      <c r="G512" s="12"/>
      <c r="J512" s="5"/>
      <c r="L512" s="461"/>
    </row>
    <row r="513" spans="2:12" s="3" customFormat="1" ht="11.25" customHeight="1" x14ac:dyDescent="0.2">
      <c r="B513" s="368"/>
      <c r="D513" s="21"/>
      <c r="E513" s="25"/>
      <c r="F513" s="25"/>
      <c r="G513" s="12"/>
      <c r="J513" s="5"/>
      <c r="L513" s="461"/>
    </row>
    <row r="514" spans="2:12" s="3" customFormat="1" ht="11.25" customHeight="1" x14ac:dyDescent="0.2">
      <c r="B514" s="368"/>
      <c r="D514" s="21"/>
      <c r="E514" s="25"/>
      <c r="F514" s="25"/>
      <c r="G514" s="12"/>
      <c r="J514" s="5"/>
      <c r="L514" s="461"/>
    </row>
    <row r="515" spans="2:12" s="3" customFormat="1" ht="11.25" customHeight="1" x14ac:dyDescent="0.2">
      <c r="B515" s="368"/>
      <c r="D515" s="21"/>
      <c r="E515" s="25"/>
      <c r="F515" s="25"/>
      <c r="G515" s="12"/>
      <c r="J515" s="5"/>
      <c r="L515" s="461"/>
    </row>
    <row r="516" spans="2:12" s="3" customFormat="1" ht="11.25" customHeight="1" x14ac:dyDescent="0.2">
      <c r="B516" s="368"/>
      <c r="D516" s="21"/>
      <c r="E516" s="25"/>
      <c r="F516" s="25"/>
      <c r="G516" s="12"/>
      <c r="J516" s="5"/>
      <c r="L516" s="461"/>
    </row>
    <row r="517" spans="2:12" s="3" customFormat="1" ht="11.25" customHeight="1" x14ac:dyDescent="0.2">
      <c r="B517" s="368"/>
      <c r="D517" s="21"/>
      <c r="E517" s="25"/>
      <c r="F517" s="25"/>
      <c r="G517" s="12"/>
      <c r="J517" s="5"/>
      <c r="L517" s="461"/>
    </row>
    <row r="518" spans="2:12" s="3" customFormat="1" ht="11.25" customHeight="1" x14ac:dyDescent="0.2">
      <c r="B518" s="368"/>
      <c r="D518" s="21"/>
      <c r="E518" s="25"/>
      <c r="F518" s="25"/>
      <c r="G518" s="12"/>
      <c r="J518" s="5"/>
      <c r="L518" s="461"/>
    </row>
    <row r="519" spans="2:12" s="3" customFormat="1" ht="11.25" customHeight="1" x14ac:dyDescent="0.2">
      <c r="B519" s="368"/>
      <c r="D519" s="21"/>
      <c r="E519" s="25"/>
      <c r="F519" s="25"/>
      <c r="G519" s="12"/>
      <c r="J519" s="5"/>
      <c r="L519" s="461"/>
    </row>
    <row r="520" spans="2:12" s="3" customFormat="1" ht="11.25" customHeight="1" x14ac:dyDescent="0.2">
      <c r="B520" s="368"/>
      <c r="D520" s="21"/>
      <c r="E520" s="25"/>
      <c r="F520" s="25"/>
      <c r="G520" s="12"/>
      <c r="J520" s="5"/>
      <c r="L520" s="461"/>
    </row>
    <row r="521" spans="2:12" s="3" customFormat="1" ht="11.25" customHeight="1" x14ac:dyDescent="0.2">
      <c r="B521" s="368"/>
      <c r="D521" s="21"/>
      <c r="E521" s="25"/>
      <c r="F521" s="25"/>
      <c r="G521" s="12"/>
      <c r="J521" s="5"/>
      <c r="L521" s="461"/>
    </row>
    <row r="522" spans="2:12" s="3" customFormat="1" ht="11.25" customHeight="1" x14ac:dyDescent="0.2">
      <c r="B522" s="368"/>
      <c r="D522" s="21"/>
      <c r="E522" s="25"/>
      <c r="F522" s="25"/>
      <c r="G522" s="12"/>
      <c r="J522" s="5"/>
      <c r="L522" s="461"/>
    </row>
    <row r="523" spans="2:12" s="3" customFormat="1" ht="11.25" customHeight="1" x14ac:dyDescent="0.2">
      <c r="B523" s="368"/>
      <c r="D523" s="21"/>
      <c r="E523" s="25"/>
      <c r="F523" s="25"/>
      <c r="G523" s="12"/>
      <c r="J523" s="5"/>
      <c r="L523" s="461"/>
    </row>
    <row r="524" spans="2:12" s="3" customFormat="1" ht="11.25" customHeight="1" x14ac:dyDescent="0.2">
      <c r="B524" s="368"/>
      <c r="D524" s="21"/>
      <c r="E524" s="25"/>
      <c r="F524" s="25"/>
      <c r="G524" s="12"/>
      <c r="J524" s="5"/>
      <c r="L524" s="461"/>
    </row>
    <row r="525" spans="2:12" s="3" customFormat="1" ht="11.25" customHeight="1" x14ac:dyDescent="0.2">
      <c r="B525" s="368"/>
      <c r="D525" s="21"/>
      <c r="E525" s="25"/>
      <c r="F525" s="25"/>
      <c r="G525" s="12"/>
      <c r="J525" s="5"/>
      <c r="L525" s="461"/>
    </row>
    <row r="526" spans="2:12" s="3" customFormat="1" ht="11.25" customHeight="1" x14ac:dyDescent="0.2">
      <c r="B526" s="368"/>
      <c r="D526" s="21"/>
      <c r="E526" s="25"/>
      <c r="F526" s="25"/>
      <c r="G526" s="12"/>
      <c r="J526" s="5"/>
      <c r="L526" s="461"/>
    </row>
    <row r="527" spans="2:12" s="3" customFormat="1" ht="11.25" customHeight="1" x14ac:dyDescent="0.2">
      <c r="B527" s="368"/>
      <c r="D527" s="21"/>
      <c r="E527" s="25"/>
      <c r="F527" s="25"/>
      <c r="G527" s="12"/>
      <c r="J527" s="5"/>
      <c r="L527" s="461"/>
    </row>
    <row r="528" spans="2:12" s="3" customFormat="1" ht="11.25" customHeight="1" x14ac:dyDescent="0.2">
      <c r="B528" s="368"/>
      <c r="D528" s="21"/>
      <c r="E528" s="25"/>
      <c r="F528" s="25"/>
      <c r="G528" s="12"/>
      <c r="J528" s="5"/>
      <c r="L528" s="461"/>
    </row>
    <row r="529" spans="2:12" s="3" customFormat="1" ht="11.25" customHeight="1" x14ac:dyDescent="0.2">
      <c r="B529" s="368"/>
      <c r="D529" s="21"/>
      <c r="E529" s="25"/>
      <c r="F529" s="25"/>
      <c r="G529" s="12"/>
      <c r="J529" s="5"/>
      <c r="L529" s="461"/>
    </row>
    <row r="530" spans="2:12" s="3" customFormat="1" ht="11.25" customHeight="1" x14ac:dyDescent="0.2">
      <c r="B530" s="368"/>
      <c r="D530" s="21"/>
      <c r="E530" s="25"/>
      <c r="F530" s="25"/>
      <c r="G530" s="12"/>
      <c r="J530" s="5"/>
      <c r="L530" s="461"/>
    </row>
    <row r="531" spans="2:12" s="3" customFormat="1" ht="11.25" customHeight="1" x14ac:dyDescent="0.2">
      <c r="B531" s="368"/>
      <c r="D531" s="21"/>
      <c r="E531" s="25"/>
      <c r="F531" s="25"/>
      <c r="G531" s="12"/>
      <c r="J531" s="5"/>
      <c r="L531" s="461"/>
    </row>
    <row r="532" spans="2:12" s="3" customFormat="1" ht="11.25" customHeight="1" x14ac:dyDescent="0.2">
      <c r="B532" s="368"/>
      <c r="D532" s="21"/>
      <c r="E532" s="25"/>
      <c r="F532" s="25"/>
      <c r="G532" s="12"/>
      <c r="J532" s="5"/>
      <c r="L532" s="461"/>
    </row>
    <row r="533" spans="2:12" s="3" customFormat="1" ht="11.25" customHeight="1" x14ac:dyDescent="0.2">
      <c r="B533" s="368"/>
      <c r="D533" s="21"/>
      <c r="E533" s="25"/>
      <c r="F533" s="25"/>
      <c r="G533" s="12"/>
      <c r="J533" s="5"/>
      <c r="L533" s="461"/>
    </row>
    <row r="534" spans="2:12" s="3" customFormat="1" ht="11.25" customHeight="1" x14ac:dyDescent="0.2">
      <c r="B534" s="368"/>
      <c r="D534" s="21"/>
      <c r="E534" s="25"/>
      <c r="F534" s="25"/>
      <c r="G534" s="12"/>
      <c r="J534" s="5"/>
      <c r="L534" s="461"/>
    </row>
    <row r="535" spans="2:12" s="3" customFormat="1" ht="11.25" customHeight="1" x14ac:dyDescent="0.2">
      <c r="B535" s="368"/>
      <c r="D535" s="21"/>
      <c r="E535" s="25"/>
      <c r="F535" s="25"/>
      <c r="G535" s="12"/>
      <c r="J535" s="5"/>
      <c r="L535" s="461"/>
    </row>
    <row r="536" spans="2:12" s="3" customFormat="1" ht="11.25" customHeight="1" x14ac:dyDescent="0.2">
      <c r="B536" s="368"/>
      <c r="D536" s="21"/>
      <c r="E536" s="25"/>
      <c r="F536" s="25"/>
      <c r="G536" s="12"/>
      <c r="J536" s="5"/>
      <c r="L536" s="461"/>
    </row>
    <row r="537" spans="2:12" s="3" customFormat="1" ht="11.25" customHeight="1" x14ac:dyDescent="0.2">
      <c r="B537" s="368"/>
      <c r="D537" s="21"/>
      <c r="E537" s="25"/>
      <c r="F537" s="25"/>
      <c r="G537" s="12"/>
      <c r="J537" s="5"/>
      <c r="L537" s="461"/>
    </row>
    <row r="538" spans="2:12" s="3" customFormat="1" ht="11.25" customHeight="1" x14ac:dyDescent="0.2">
      <c r="B538" s="368"/>
      <c r="D538" s="21"/>
      <c r="E538" s="25"/>
      <c r="F538" s="25"/>
      <c r="G538" s="12"/>
      <c r="J538" s="5"/>
      <c r="L538" s="461"/>
    </row>
    <row r="539" spans="2:12" s="3" customFormat="1" ht="11.25" customHeight="1" x14ac:dyDescent="0.2">
      <c r="B539" s="368"/>
      <c r="D539" s="21"/>
      <c r="E539" s="25"/>
      <c r="F539" s="25"/>
      <c r="G539" s="12"/>
      <c r="J539" s="5"/>
      <c r="L539" s="461"/>
    </row>
    <row r="540" spans="2:12" s="3" customFormat="1" ht="11.25" customHeight="1" x14ac:dyDescent="0.2">
      <c r="B540" s="368"/>
      <c r="D540" s="21"/>
      <c r="E540" s="25"/>
      <c r="F540" s="25"/>
      <c r="G540" s="12"/>
      <c r="J540" s="5"/>
      <c r="L540" s="461"/>
    </row>
    <row r="541" spans="2:12" s="3" customFormat="1" ht="11.25" customHeight="1" x14ac:dyDescent="0.2">
      <c r="B541" s="368"/>
      <c r="D541" s="21"/>
      <c r="E541" s="25"/>
      <c r="F541" s="25"/>
      <c r="G541" s="12"/>
      <c r="J541" s="5"/>
      <c r="L541" s="461"/>
    </row>
    <row r="542" spans="2:12" s="3" customFormat="1" ht="11.25" customHeight="1" x14ac:dyDescent="0.2">
      <c r="B542" s="368"/>
      <c r="D542" s="21"/>
      <c r="E542" s="25"/>
      <c r="F542" s="25"/>
      <c r="G542" s="12"/>
      <c r="J542" s="5"/>
      <c r="L542" s="461"/>
    </row>
    <row r="543" spans="2:12" s="3" customFormat="1" ht="11.25" customHeight="1" x14ac:dyDescent="0.2">
      <c r="B543" s="368"/>
      <c r="D543" s="21"/>
      <c r="E543" s="25"/>
      <c r="F543" s="25"/>
      <c r="G543" s="12"/>
      <c r="J543" s="5"/>
      <c r="L543" s="461"/>
    </row>
    <row r="544" spans="2:12" s="3" customFormat="1" ht="11.25" customHeight="1" x14ac:dyDescent="0.2">
      <c r="B544" s="368"/>
      <c r="D544" s="21"/>
      <c r="E544" s="25"/>
      <c r="F544" s="25"/>
      <c r="G544" s="12"/>
      <c r="J544" s="5"/>
      <c r="L544" s="461"/>
    </row>
    <row r="545" spans="2:12" s="3" customFormat="1" ht="11.25" customHeight="1" x14ac:dyDescent="0.2">
      <c r="B545" s="368"/>
      <c r="D545" s="21"/>
      <c r="E545" s="25"/>
      <c r="F545" s="25"/>
      <c r="G545" s="12"/>
      <c r="J545" s="5"/>
      <c r="L545" s="461"/>
    </row>
    <row r="546" spans="2:12" s="3" customFormat="1" ht="11.25" customHeight="1" x14ac:dyDescent="0.2">
      <c r="B546" s="368"/>
      <c r="D546" s="21"/>
      <c r="E546" s="25"/>
      <c r="F546" s="25"/>
      <c r="G546" s="12"/>
      <c r="J546" s="5"/>
      <c r="L546" s="461"/>
    </row>
    <row r="547" spans="2:12" s="3" customFormat="1" ht="11.25" customHeight="1" x14ac:dyDescent="0.2">
      <c r="B547" s="368"/>
      <c r="D547" s="21"/>
      <c r="E547" s="25"/>
      <c r="F547" s="25"/>
      <c r="G547" s="12"/>
      <c r="J547" s="5"/>
      <c r="L547" s="461"/>
    </row>
    <row r="548" spans="2:12" s="3" customFormat="1" ht="11.25" customHeight="1" x14ac:dyDescent="0.2">
      <c r="B548" s="368"/>
      <c r="D548" s="21"/>
      <c r="E548" s="25"/>
      <c r="F548" s="25"/>
      <c r="G548" s="12"/>
      <c r="J548" s="5"/>
      <c r="L548" s="461"/>
    </row>
    <row r="549" spans="2:12" s="3" customFormat="1" ht="11.25" customHeight="1" x14ac:dyDescent="0.2">
      <c r="B549" s="368"/>
      <c r="D549" s="21"/>
      <c r="E549" s="25"/>
      <c r="F549" s="25"/>
      <c r="G549" s="12"/>
      <c r="J549" s="5"/>
      <c r="L549" s="461"/>
    </row>
    <row r="550" spans="2:12" s="3" customFormat="1" ht="11.25" customHeight="1" x14ac:dyDescent="0.2">
      <c r="B550" s="368"/>
      <c r="D550" s="21"/>
      <c r="E550" s="25"/>
      <c r="F550" s="25"/>
      <c r="G550" s="12"/>
      <c r="J550" s="5"/>
      <c r="L550" s="461"/>
    </row>
    <row r="551" spans="2:12" s="3" customFormat="1" ht="11.25" customHeight="1" x14ac:dyDescent="0.2">
      <c r="B551" s="368"/>
      <c r="D551" s="21"/>
      <c r="E551" s="25"/>
      <c r="F551" s="25"/>
      <c r="G551" s="12"/>
      <c r="J551" s="5"/>
      <c r="L551" s="461"/>
    </row>
    <row r="552" spans="2:12" s="3" customFormat="1" ht="11.25" customHeight="1" x14ac:dyDescent="0.2">
      <c r="B552" s="368"/>
      <c r="D552" s="21"/>
      <c r="E552" s="25"/>
      <c r="F552" s="25"/>
      <c r="G552" s="12"/>
      <c r="J552" s="5"/>
      <c r="L552" s="461"/>
    </row>
    <row r="553" spans="2:12" s="3" customFormat="1" ht="11.25" customHeight="1" x14ac:dyDescent="0.2">
      <c r="B553" s="368"/>
      <c r="D553" s="21"/>
      <c r="E553" s="25"/>
      <c r="F553" s="25"/>
      <c r="G553" s="12"/>
      <c r="J553" s="5"/>
      <c r="L553" s="461"/>
    </row>
    <row r="554" spans="2:12" s="3" customFormat="1" ht="11.25" customHeight="1" x14ac:dyDescent="0.2">
      <c r="B554" s="368"/>
      <c r="D554" s="21"/>
      <c r="E554" s="25"/>
      <c r="F554" s="25"/>
      <c r="G554" s="12"/>
      <c r="J554" s="5"/>
      <c r="L554" s="461"/>
    </row>
    <row r="555" spans="2:12" s="3" customFormat="1" ht="11.25" customHeight="1" x14ac:dyDescent="0.2">
      <c r="B555" s="368"/>
      <c r="D555" s="21"/>
      <c r="E555" s="25"/>
      <c r="F555" s="25"/>
      <c r="G555" s="12"/>
      <c r="J555" s="5"/>
      <c r="L555" s="461"/>
    </row>
    <row r="556" spans="2:12" s="3" customFormat="1" ht="11.25" customHeight="1" x14ac:dyDescent="0.2">
      <c r="B556" s="368"/>
      <c r="D556" s="21"/>
      <c r="E556" s="25"/>
      <c r="F556" s="25"/>
      <c r="G556" s="12"/>
      <c r="J556" s="5"/>
      <c r="L556" s="461"/>
    </row>
    <row r="557" spans="2:12" s="3" customFormat="1" ht="11.25" customHeight="1" x14ac:dyDescent="0.2">
      <c r="B557" s="368"/>
      <c r="D557" s="21"/>
      <c r="E557" s="25"/>
      <c r="F557" s="25"/>
      <c r="G557" s="12"/>
      <c r="J557" s="5"/>
      <c r="L557" s="461"/>
    </row>
    <row r="558" spans="2:12" s="3" customFormat="1" ht="11.25" customHeight="1" x14ac:dyDescent="0.2">
      <c r="B558" s="368"/>
      <c r="D558" s="21"/>
      <c r="E558" s="25"/>
      <c r="F558" s="25"/>
      <c r="G558" s="12"/>
      <c r="J558" s="5"/>
      <c r="L558" s="461"/>
    </row>
    <row r="559" spans="2:12" s="3" customFormat="1" ht="11.25" customHeight="1" x14ac:dyDescent="0.2">
      <c r="B559" s="368"/>
      <c r="D559" s="21"/>
      <c r="E559" s="25"/>
      <c r="F559" s="25"/>
      <c r="G559" s="12"/>
      <c r="J559" s="5"/>
      <c r="L559" s="461"/>
    </row>
    <row r="560" spans="2:12" s="3" customFormat="1" ht="11.25" customHeight="1" x14ac:dyDescent="0.2">
      <c r="B560" s="368"/>
      <c r="D560" s="21"/>
      <c r="E560" s="25"/>
      <c r="F560" s="25"/>
      <c r="G560" s="12"/>
      <c r="J560" s="5"/>
      <c r="L560" s="461"/>
    </row>
    <row r="561" spans="2:12" s="3" customFormat="1" ht="11.25" customHeight="1" x14ac:dyDescent="0.2">
      <c r="B561" s="368"/>
      <c r="D561" s="21"/>
      <c r="E561" s="25"/>
      <c r="F561" s="25"/>
      <c r="G561" s="12"/>
      <c r="J561" s="5"/>
      <c r="L561" s="461"/>
    </row>
    <row r="562" spans="2:12" s="3" customFormat="1" ht="11.25" customHeight="1" x14ac:dyDescent="0.2">
      <c r="B562" s="368"/>
      <c r="D562" s="21"/>
      <c r="E562" s="25"/>
      <c r="F562" s="25"/>
      <c r="G562" s="12"/>
      <c r="J562" s="5"/>
      <c r="L562" s="461"/>
    </row>
    <row r="563" spans="2:12" s="3" customFormat="1" ht="11.25" customHeight="1" x14ac:dyDescent="0.2">
      <c r="B563" s="368"/>
      <c r="D563" s="21"/>
      <c r="E563" s="25"/>
      <c r="F563" s="25"/>
      <c r="G563" s="12"/>
      <c r="J563" s="5"/>
      <c r="L563" s="461"/>
    </row>
    <row r="564" spans="2:12" s="3" customFormat="1" ht="11.25" customHeight="1" x14ac:dyDescent="0.2">
      <c r="B564" s="368"/>
      <c r="D564" s="21"/>
      <c r="E564" s="25"/>
      <c r="F564" s="25"/>
      <c r="G564" s="12"/>
      <c r="J564" s="5"/>
      <c r="L564" s="461"/>
    </row>
    <row r="565" spans="2:12" s="3" customFormat="1" ht="11.25" customHeight="1" x14ac:dyDescent="0.2">
      <c r="B565" s="368"/>
      <c r="D565" s="21"/>
      <c r="E565" s="25"/>
      <c r="F565" s="25"/>
      <c r="G565" s="12"/>
      <c r="J565" s="5"/>
      <c r="L565" s="461"/>
    </row>
    <row r="566" spans="2:12" s="3" customFormat="1" ht="11.25" customHeight="1" x14ac:dyDescent="0.2">
      <c r="B566" s="368"/>
      <c r="D566" s="21"/>
      <c r="E566" s="25"/>
      <c r="F566" s="25"/>
      <c r="G566" s="12"/>
      <c r="J566" s="5"/>
      <c r="L566" s="461"/>
    </row>
    <row r="567" spans="2:12" s="3" customFormat="1" ht="11.25" customHeight="1" x14ac:dyDescent="0.2">
      <c r="B567" s="368"/>
      <c r="D567" s="21"/>
      <c r="E567" s="25"/>
      <c r="F567" s="25"/>
      <c r="G567" s="12"/>
      <c r="J567" s="5"/>
      <c r="L567" s="461"/>
    </row>
    <row r="568" spans="2:12" s="3" customFormat="1" ht="11.25" customHeight="1" x14ac:dyDescent="0.2">
      <c r="B568" s="368"/>
      <c r="D568" s="21"/>
      <c r="E568" s="25"/>
      <c r="F568" s="25"/>
      <c r="G568" s="12"/>
      <c r="J568" s="5"/>
      <c r="L568" s="461"/>
    </row>
    <row r="569" spans="2:12" s="3" customFormat="1" ht="11.25" customHeight="1" x14ac:dyDescent="0.2">
      <c r="B569" s="368"/>
      <c r="D569" s="21"/>
      <c r="E569" s="25"/>
      <c r="F569" s="25"/>
      <c r="G569" s="12"/>
      <c r="J569" s="5"/>
      <c r="L569" s="461"/>
    </row>
    <row r="570" spans="2:12" s="3" customFormat="1" ht="11.25" customHeight="1" x14ac:dyDescent="0.2">
      <c r="B570" s="368"/>
      <c r="D570" s="21"/>
      <c r="E570" s="25"/>
      <c r="F570" s="25"/>
      <c r="G570" s="12"/>
      <c r="J570" s="5"/>
      <c r="L570" s="461"/>
    </row>
    <row r="571" spans="2:12" s="3" customFormat="1" ht="11.25" customHeight="1" x14ac:dyDescent="0.2">
      <c r="B571" s="368"/>
      <c r="D571" s="21"/>
      <c r="E571" s="25"/>
      <c r="F571" s="25"/>
      <c r="G571" s="12"/>
      <c r="J571" s="5"/>
      <c r="L571" s="461"/>
    </row>
    <row r="572" spans="2:12" s="3" customFormat="1" ht="11.25" customHeight="1" x14ac:dyDescent="0.2">
      <c r="B572" s="368"/>
      <c r="D572" s="21"/>
      <c r="E572" s="25"/>
      <c r="F572" s="25"/>
      <c r="G572" s="12"/>
      <c r="J572" s="5"/>
      <c r="L572" s="461"/>
    </row>
    <row r="573" spans="2:12" s="3" customFormat="1" ht="11.25" customHeight="1" x14ac:dyDescent="0.2">
      <c r="B573" s="368"/>
      <c r="D573" s="21"/>
      <c r="E573" s="25"/>
      <c r="F573" s="25"/>
      <c r="G573" s="12"/>
      <c r="J573" s="5"/>
      <c r="L573" s="461"/>
    </row>
    <row r="574" spans="2:12" s="3" customFormat="1" ht="11.25" customHeight="1" x14ac:dyDescent="0.2">
      <c r="B574" s="368"/>
      <c r="D574" s="21"/>
      <c r="E574" s="25"/>
      <c r="F574" s="25"/>
      <c r="G574" s="12"/>
      <c r="J574" s="5"/>
      <c r="L574" s="461"/>
    </row>
    <row r="575" spans="2:12" s="3" customFormat="1" ht="11.25" customHeight="1" x14ac:dyDescent="0.2">
      <c r="B575" s="368"/>
      <c r="D575" s="21"/>
      <c r="E575" s="25"/>
      <c r="F575" s="25"/>
      <c r="G575" s="12"/>
      <c r="J575" s="5"/>
      <c r="L575" s="461"/>
    </row>
    <row r="576" spans="2:12" s="3" customFormat="1" ht="11.25" customHeight="1" x14ac:dyDescent="0.2">
      <c r="B576" s="368"/>
      <c r="D576" s="21"/>
      <c r="E576" s="25"/>
      <c r="F576" s="25"/>
      <c r="G576" s="12"/>
      <c r="J576" s="5"/>
      <c r="L576" s="461"/>
    </row>
    <row r="577" spans="2:12" s="3" customFormat="1" ht="11.25" customHeight="1" x14ac:dyDescent="0.2">
      <c r="B577" s="368"/>
      <c r="D577" s="21"/>
      <c r="E577" s="25"/>
      <c r="F577" s="25"/>
      <c r="G577" s="12"/>
      <c r="J577" s="5"/>
      <c r="L577" s="461"/>
    </row>
    <row r="578" spans="2:12" s="3" customFormat="1" ht="11.25" customHeight="1" x14ac:dyDescent="0.2">
      <c r="B578" s="368"/>
      <c r="D578" s="21"/>
      <c r="E578" s="25"/>
      <c r="F578" s="25"/>
      <c r="G578" s="12"/>
      <c r="J578" s="5"/>
      <c r="L578" s="461"/>
    </row>
    <row r="579" spans="2:12" s="3" customFormat="1" ht="11.25" customHeight="1" x14ac:dyDescent="0.2">
      <c r="B579" s="368"/>
      <c r="D579" s="21"/>
      <c r="E579" s="25"/>
      <c r="F579" s="25"/>
      <c r="G579" s="12"/>
      <c r="J579" s="5"/>
      <c r="L579" s="461"/>
    </row>
    <row r="580" spans="2:12" s="3" customFormat="1" ht="11.25" customHeight="1" x14ac:dyDescent="0.2">
      <c r="B580" s="368"/>
      <c r="D580" s="21"/>
      <c r="E580" s="25"/>
      <c r="F580" s="25"/>
      <c r="G580" s="12"/>
      <c r="J580" s="5"/>
      <c r="L580" s="461"/>
    </row>
    <row r="581" spans="2:12" s="3" customFormat="1" ht="11.25" customHeight="1" x14ac:dyDescent="0.2">
      <c r="B581" s="368"/>
      <c r="D581" s="21"/>
      <c r="E581" s="25"/>
      <c r="F581" s="25"/>
      <c r="G581" s="12"/>
      <c r="J581" s="5"/>
      <c r="L581" s="461"/>
    </row>
    <row r="582" spans="2:12" s="3" customFormat="1" ht="11.25" customHeight="1" x14ac:dyDescent="0.2">
      <c r="B582" s="368"/>
      <c r="D582" s="21"/>
      <c r="E582" s="25"/>
      <c r="F582" s="25"/>
      <c r="G582" s="12"/>
      <c r="J582" s="5"/>
      <c r="L582" s="461"/>
    </row>
    <row r="583" spans="2:12" s="3" customFormat="1" ht="11.25" customHeight="1" x14ac:dyDescent="0.2">
      <c r="B583" s="368"/>
      <c r="D583" s="21"/>
      <c r="E583" s="25"/>
      <c r="F583" s="25"/>
      <c r="G583" s="12"/>
      <c r="J583" s="5"/>
      <c r="L583" s="461"/>
    </row>
    <row r="584" spans="2:12" s="3" customFormat="1" ht="11.25" customHeight="1" x14ac:dyDescent="0.2">
      <c r="B584" s="368"/>
      <c r="D584" s="21"/>
      <c r="E584" s="25"/>
      <c r="F584" s="25"/>
      <c r="G584" s="12"/>
      <c r="J584" s="5"/>
      <c r="L584" s="461"/>
    </row>
    <row r="585" spans="2:12" s="3" customFormat="1" ht="11.25" customHeight="1" x14ac:dyDescent="0.2">
      <c r="B585" s="368"/>
      <c r="D585" s="21"/>
      <c r="E585" s="25"/>
      <c r="F585" s="25"/>
      <c r="G585" s="12"/>
      <c r="J585" s="5"/>
      <c r="L585" s="461"/>
    </row>
    <row r="586" spans="2:12" s="3" customFormat="1" ht="11.25" customHeight="1" x14ac:dyDescent="0.2">
      <c r="B586" s="368"/>
      <c r="D586" s="21"/>
      <c r="E586" s="25"/>
      <c r="F586" s="25"/>
      <c r="G586" s="12"/>
      <c r="J586" s="5"/>
      <c r="L586" s="461"/>
    </row>
    <row r="587" spans="2:12" s="3" customFormat="1" ht="11.25" customHeight="1" x14ac:dyDescent="0.2">
      <c r="B587" s="368"/>
      <c r="D587" s="21"/>
      <c r="E587" s="25"/>
      <c r="F587" s="25"/>
      <c r="G587" s="12"/>
      <c r="J587" s="5"/>
      <c r="L587" s="461"/>
    </row>
    <row r="588" spans="2:12" s="3" customFormat="1" ht="11.25" customHeight="1" x14ac:dyDescent="0.2">
      <c r="B588" s="368"/>
      <c r="D588" s="21"/>
      <c r="E588" s="25"/>
      <c r="F588" s="25"/>
      <c r="G588" s="12"/>
      <c r="J588" s="5"/>
      <c r="L588" s="461"/>
    </row>
    <row r="589" spans="2:12" s="3" customFormat="1" ht="11.25" customHeight="1" x14ac:dyDescent="0.2">
      <c r="B589" s="368"/>
      <c r="D589" s="21"/>
      <c r="E589" s="25"/>
      <c r="F589" s="25"/>
      <c r="G589" s="12"/>
      <c r="J589" s="5"/>
      <c r="L589" s="461"/>
    </row>
    <row r="590" spans="2:12" s="3" customFormat="1" ht="11.25" customHeight="1" x14ac:dyDescent="0.2">
      <c r="B590" s="368"/>
      <c r="D590" s="21"/>
      <c r="E590" s="25"/>
      <c r="F590" s="25"/>
      <c r="G590" s="12"/>
      <c r="J590" s="5"/>
      <c r="L590" s="461"/>
    </row>
    <row r="591" spans="2:12" s="3" customFormat="1" ht="11.25" customHeight="1" x14ac:dyDescent="0.2">
      <c r="B591" s="368"/>
      <c r="D591" s="21"/>
      <c r="E591" s="25"/>
      <c r="F591" s="25"/>
      <c r="G591" s="12"/>
      <c r="J591" s="5"/>
      <c r="L591" s="461"/>
    </row>
    <row r="592" spans="2:12" s="3" customFormat="1" ht="11.25" customHeight="1" x14ac:dyDescent="0.2">
      <c r="B592" s="368"/>
      <c r="D592" s="21"/>
      <c r="E592" s="25"/>
      <c r="F592" s="25"/>
      <c r="G592" s="12"/>
      <c r="J592" s="5"/>
      <c r="L592" s="461"/>
    </row>
    <row r="593" spans="2:12" s="3" customFormat="1" ht="11.25" customHeight="1" x14ac:dyDescent="0.2">
      <c r="B593" s="368"/>
      <c r="D593" s="21"/>
      <c r="E593" s="25"/>
      <c r="F593" s="25"/>
      <c r="G593" s="12"/>
      <c r="J593" s="5"/>
      <c r="L593" s="461"/>
    </row>
    <row r="594" spans="2:12" s="3" customFormat="1" ht="11.25" customHeight="1" x14ac:dyDescent="0.2">
      <c r="B594" s="368"/>
      <c r="D594" s="21"/>
      <c r="E594" s="25"/>
      <c r="F594" s="25"/>
      <c r="G594" s="12"/>
      <c r="J594" s="5"/>
      <c r="L594" s="461"/>
    </row>
    <row r="595" spans="2:12" s="3" customFormat="1" ht="11.25" customHeight="1" x14ac:dyDescent="0.2">
      <c r="B595" s="368"/>
      <c r="D595" s="21"/>
      <c r="E595" s="25"/>
      <c r="F595" s="25"/>
      <c r="G595" s="12"/>
      <c r="J595" s="5"/>
      <c r="L595" s="461"/>
    </row>
    <row r="596" spans="2:12" s="3" customFormat="1" ht="11.25" customHeight="1" x14ac:dyDescent="0.2">
      <c r="B596" s="368"/>
      <c r="D596" s="21"/>
      <c r="E596" s="25"/>
      <c r="F596" s="25"/>
      <c r="G596" s="12"/>
      <c r="J596" s="5"/>
      <c r="L596" s="461"/>
    </row>
    <row r="597" spans="2:12" s="3" customFormat="1" ht="11.25" customHeight="1" x14ac:dyDescent="0.2">
      <c r="B597" s="368"/>
      <c r="D597" s="21"/>
      <c r="E597" s="25"/>
      <c r="F597" s="25"/>
      <c r="G597" s="12"/>
      <c r="J597" s="5"/>
      <c r="L597" s="461"/>
    </row>
    <row r="598" spans="2:12" s="3" customFormat="1" ht="11.25" customHeight="1" x14ac:dyDescent="0.2">
      <c r="B598" s="368"/>
      <c r="D598" s="21"/>
      <c r="E598" s="25"/>
      <c r="F598" s="25"/>
      <c r="G598" s="12"/>
      <c r="J598" s="5"/>
      <c r="L598" s="461"/>
    </row>
    <row r="599" spans="2:12" s="3" customFormat="1" ht="11.25" customHeight="1" x14ac:dyDescent="0.2">
      <c r="B599" s="368"/>
      <c r="D599" s="21"/>
      <c r="E599" s="25"/>
      <c r="F599" s="25"/>
      <c r="G599" s="12"/>
      <c r="J599" s="5"/>
      <c r="L599" s="461"/>
    </row>
    <row r="600" spans="2:12" s="3" customFormat="1" ht="11.25" customHeight="1" x14ac:dyDescent="0.2">
      <c r="B600" s="368"/>
      <c r="D600" s="21"/>
      <c r="E600" s="25"/>
      <c r="F600" s="25"/>
      <c r="G600" s="12"/>
      <c r="J600" s="5"/>
      <c r="L600" s="461"/>
    </row>
    <row r="601" spans="2:12" s="3" customFormat="1" ht="11.25" customHeight="1" x14ac:dyDescent="0.2">
      <c r="B601" s="368"/>
      <c r="D601" s="21"/>
      <c r="E601" s="25"/>
      <c r="F601" s="25"/>
      <c r="G601" s="12"/>
      <c r="J601" s="5"/>
      <c r="L601" s="461"/>
    </row>
    <row r="602" spans="2:12" s="3" customFormat="1" ht="11.25" customHeight="1" x14ac:dyDescent="0.2">
      <c r="B602" s="368"/>
      <c r="D602" s="21"/>
      <c r="E602" s="25"/>
      <c r="F602" s="25"/>
      <c r="G602" s="12"/>
      <c r="J602" s="5"/>
      <c r="L602" s="461"/>
    </row>
    <row r="603" spans="2:12" s="3" customFormat="1" ht="11.25" customHeight="1" x14ac:dyDescent="0.2">
      <c r="B603" s="368"/>
      <c r="D603" s="21"/>
      <c r="E603" s="25"/>
      <c r="F603" s="25"/>
      <c r="G603" s="12"/>
      <c r="J603" s="5"/>
      <c r="L603" s="461"/>
    </row>
    <row r="604" spans="2:12" s="3" customFormat="1" ht="11.25" customHeight="1" x14ac:dyDescent="0.2">
      <c r="B604" s="368"/>
      <c r="D604" s="21"/>
      <c r="E604" s="25"/>
      <c r="F604" s="25"/>
      <c r="G604" s="12"/>
      <c r="J604" s="5"/>
      <c r="L604" s="461"/>
    </row>
    <row r="605" spans="2:12" s="3" customFormat="1" ht="11.25" customHeight="1" x14ac:dyDescent="0.2">
      <c r="B605" s="368"/>
      <c r="D605" s="21"/>
      <c r="E605" s="25"/>
      <c r="F605" s="25"/>
      <c r="G605" s="12"/>
      <c r="J605" s="5"/>
      <c r="L605" s="461"/>
    </row>
    <row r="606" spans="2:12" s="3" customFormat="1" ht="11.25" customHeight="1" x14ac:dyDescent="0.2">
      <c r="B606" s="368"/>
      <c r="D606" s="21"/>
      <c r="E606" s="25"/>
      <c r="F606" s="25"/>
      <c r="G606" s="12"/>
      <c r="J606" s="5"/>
      <c r="L606" s="461"/>
    </row>
    <row r="607" spans="2:12" s="3" customFormat="1" ht="11.25" customHeight="1" x14ac:dyDescent="0.2">
      <c r="B607" s="368"/>
      <c r="D607" s="21"/>
      <c r="E607" s="25"/>
      <c r="F607" s="25"/>
      <c r="G607" s="12"/>
      <c r="J607" s="5"/>
      <c r="L607" s="461"/>
    </row>
    <row r="608" spans="2:12" s="3" customFormat="1" ht="11.25" customHeight="1" x14ac:dyDescent="0.2">
      <c r="B608" s="368"/>
      <c r="D608" s="21"/>
      <c r="E608" s="25"/>
      <c r="F608" s="25"/>
      <c r="G608" s="12"/>
      <c r="J608" s="5"/>
      <c r="L608" s="461"/>
    </row>
    <row r="609" spans="2:12" s="3" customFormat="1" ht="11.25" customHeight="1" x14ac:dyDescent="0.2">
      <c r="B609" s="368"/>
      <c r="D609" s="21"/>
      <c r="E609" s="25"/>
      <c r="F609" s="25"/>
      <c r="G609" s="12"/>
      <c r="J609" s="5"/>
      <c r="L609" s="461"/>
    </row>
    <row r="610" spans="2:12" s="3" customFormat="1" ht="11.25" customHeight="1" x14ac:dyDescent="0.2">
      <c r="B610" s="368"/>
      <c r="D610" s="21"/>
      <c r="E610" s="25"/>
      <c r="F610" s="25"/>
      <c r="G610" s="12"/>
      <c r="J610" s="5"/>
      <c r="L610" s="461"/>
    </row>
    <row r="611" spans="2:12" s="3" customFormat="1" ht="11.25" customHeight="1" x14ac:dyDescent="0.2">
      <c r="B611" s="368"/>
      <c r="D611" s="21"/>
      <c r="E611" s="25"/>
      <c r="F611" s="25"/>
      <c r="G611" s="12"/>
      <c r="J611" s="5"/>
      <c r="L611" s="461"/>
    </row>
    <row r="612" spans="2:12" s="3" customFormat="1" ht="11.25" customHeight="1" x14ac:dyDescent="0.2">
      <c r="B612" s="368"/>
      <c r="D612" s="21"/>
      <c r="E612" s="25"/>
      <c r="F612" s="25"/>
      <c r="G612" s="12"/>
      <c r="J612" s="5"/>
      <c r="L612" s="461"/>
    </row>
    <row r="613" spans="2:12" s="3" customFormat="1" ht="11.25" customHeight="1" x14ac:dyDescent="0.2">
      <c r="B613" s="368"/>
      <c r="D613" s="21"/>
      <c r="E613" s="25"/>
      <c r="F613" s="25"/>
      <c r="G613" s="12"/>
      <c r="J613" s="5"/>
      <c r="L613" s="461"/>
    </row>
    <row r="614" spans="2:12" s="3" customFormat="1" ht="11.25" customHeight="1" x14ac:dyDescent="0.2">
      <c r="B614" s="368"/>
      <c r="D614" s="21"/>
      <c r="E614" s="25"/>
      <c r="F614" s="25"/>
      <c r="G614" s="12"/>
      <c r="J614" s="5"/>
      <c r="L614" s="461"/>
    </row>
    <row r="615" spans="2:12" s="3" customFormat="1" ht="11.25" customHeight="1" x14ac:dyDescent="0.2">
      <c r="B615" s="368"/>
      <c r="D615" s="21"/>
      <c r="E615" s="25"/>
      <c r="F615" s="25"/>
      <c r="G615" s="12"/>
      <c r="J615" s="5"/>
      <c r="L615" s="461"/>
    </row>
    <row r="616" spans="2:12" s="3" customFormat="1" ht="11.25" customHeight="1" x14ac:dyDescent="0.2">
      <c r="B616" s="368"/>
      <c r="D616" s="21"/>
      <c r="E616" s="25"/>
      <c r="F616" s="25"/>
      <c r="G616" s="12"/>
      <c r="J616" s="5"/>
      <c r="L616" s="461"/>
    </row>
    <row r="617" spans="2:12" s="3" customFormat="1" ht="11.25" customHeight="1" x14ac:dyDescent="0.2">
      <c r="B617" s="368"/>
      <c r="D617" s="21"/>
      <c r="E617" s="25"/>
      <c r="F617" s="25"/>
      <c r="G617" s="12"/>
      <c r="J617" s="5"/>
      <c r="L617" s="461"/>
    </row>
    <row r="618" spans="2:12" s="3" customFormat="1" ht="11.25" customHeight="1" x14ac:dyDescent="0.2">
      <c r="B618" s="368"/>
      <c r="D618" s="21"/>
      <c r="E618" s="25"/>
      <c r="F618" s="25"/>
      <c r="G618" s="12"/>
      <c r="J618" s="5"/>
      <c r="L618" s="461"/>
    </row>
    <row r="619" spans="2:12" s="3" customFormat="1" ht="11.25" customHeight="1" x14ac:dyDescent="0.2">
      <c r="B619" s="368"/>
      <c r="D619" s="21"/>
      <c r="E619" s="25"/>
      <c r="F619" s="25"/>
      <c r="G619" s="12"/>
      <c r="J619" s="5"/>
      <c r="L619" s="461"/>
    </row>
    <row r="620" spans="2:12" s="3" customFormat="1" ht="11.25" customHeight="1" x14ac:dyDescent="0.2">
      <c r="B620" s="368"/>
      <c r="D620" s="21"/>
      <c r="E620" s="25"/>
      <c r="F620" s="25"/>
      <c r="G620" s="12"/>
      <c r="J620" s="5"/>
      <c r="L620" s="461"/>
    </row>
    <row r="621" spans="2:12" s="3" customFormat="1" ht="11.25" customHeight="1" x14ac:dyDescent="0.2">
      <c r="B621" s="368"/>
      <c r="D621" s="21"/>
      <c r="E621" s="25"/>
      <c r="F621" s="25"/>
      <c r="G621" s="12"/>
      <c r="J621" s="5"/>
      <c r="L621" s="461"/>
    </row>
    <row r="622" spans="2:12" s="3" customFormat="1" ht="11.25" customHeight="1" x14ac:dyDescent="0.2">
      <c r="B622" s="368"/>
      <c r="D622" s="21"/>
      <c r="E622" s="25"/>
      <c r="F622" s="25"/>
      <c r="G622" s="12"/>
      <c r="J622" s="5"/>
      <c r="L622" s="461"/>
    </row>
    <row r="623" spans="2:12" s="3" customFormat="1" ht="11.25" customHeight="1" x14ac:dyDescent="0.2">
      <c r="B623" s="368"/>
      <c r="D623" s="21"/>
      <c r="E623" s="25"/>
      <c r="F623" s="25"/>
      <c r="G623" s="12"/>
      <c r="J623" s="5"/>
      <c r="L623" s="461"/>
    </row>
    <row r="624" spans="2:12" s="3" customFormat="1" ht="11.25" customHeight="1" x14ac:dyDescent="0.2">
      <c r="B624" s="368"/>
      <c r="D624" s="21"/>
      <c r="E624" s="25"/>
      <c r="F624" s="25"/>
      <c r="G624" s="12"/>
      <c r="J624" s="5"/>
      <c r="L624" s="461"/>
    </row>
    <row r="625" spans="2:12" s="3" customFormat="1" ht="11.25" customHeight="1" x14ac:dyDescent="0.2">
      <c r="B625" s="368"/>
      <c r="D625" s="21"/>
      <c r="E625" s="25"/>
      <c r="F625" s="25"/>
      <c r="G625" s="12"/>
      <c r="J625" s="5"/>
      <c r="L625" s="461"/>
    </row>
    <row r="626" spans="2:12" s="3" customFormat="1" ht="11.25" customHeight="1" x14ac:dyDescent="0.2">
      <c r="B626" s="368"/>
      <c r="D626" s="21"/>
      <c r="E626" s="25"/>
      <c r="F626" s="25"/>
      <c r="G626" s="12"/>
      <c r="J626" s="5"/>
      <c r="L626" s="461"/>
    </row>
    <row r="627" spans="2:12" s="3" customFormat="1" ht="11.25" customHeight="1" x14ac:dyDescent="0.2">
      <c r="B627" s="368"/>
      <c r="D627" s="21"/>
      <c r="E627" s="25"/>
      <c r="F627" s="25"/>
      <c r="G627" s="12"/>
      <c r="J627" s="5"/>
      <c r="L627" s="461"/>
    </row>
    <row r="628" spans="2:12" s="3" customFormat="1" ht="11.25" customHeight="1" x14ac:dyDescent="0.2">
      <c r="B628" s="368"/>
      <c r="D628" s="21"/>
      <c r="E628" s="25"/>
      <c r="F628" s="25"/>
      <c r="G628" s="12"/>
      <c r="J628" s="5"/>
      <c r="L628" s="461"/>
    </row>
    <row r="629" spans="2:12" s="3" customFormat="1" ht="11.25" customHeight="1" x14ac:dyDescent="0.2">
      <c r="B629" s="368"/>
      <c r="D629" s="21"/>
      <c r="E629" s="25"/>
      <c r="F629" s="25"/>
      <c r="G629" s="12"/>
      <c r="J629" s="5"/>
      <c r="L629" s="461"/>
    </row>
    <row r="630" spans="2:12" s="3" customFormat="1" ht="11.25" customHeight="1" x14ac:dyDescent="0.2">
      <c r="B630" s="368"/>
      <c r="D630" s="21"/>
      <c r="E630" s="25"/>
      <c r="F630" s="25"/>
      <c r="G630" s="12"/>
      <c r="J630" s="5"/>
      <c r="L630" s="461"/>
    </row>
    <row r="631" spans="2:12" s="3" customFormat="1" ht="11.25" customHeight="1" x14ac:dyDescent="0.2">
      <c r="B631" s="368"/>
      <c r="D631" s="21"/>
      <c r="E631" s="25"/>
      <c r="F631" s="25"/>
      <c r="G631" s="12"/>
      <c r="J631" s="5"/>
      <c r="L631" s="461"/>
    </row>
    <row r="632" spans="2:12" s="3" customFormat="1" ht="11.25" customHeight="1" x14ac:dyDescent="0.2">
      <c r="B632" s="368"/>
      <c r="D632" s="21"/>
      <c r="E632" s="25"/>
      <c r="F632" s="25"/>
      <c r="G632" s="12"/>
      <c r="J632" s="5"/>
      <c r="L632" s="461"/>
    </row>
    <row r="633" spans="2:12" s="3" customFormat="1" ht="11.25" customHeight="1" x14ac:dyDescent="0.2">
      <c r="B633" s="368"/>
      <c r="D633" s="21"/>
      <c r="E633" s="25"/>
      <c r="F633" s="25"/>
      <c r="G633" s="12"/>
      <c r="J633" s="5"/>
      <c r="L633" s="461"/>
    </row>
    <row r="634" spans="2:12" s="3" customFormat="1" ht="11.25" customHeight="1" x14ac:dyDescent="0.2">
      <c r="B634" s="368"/>
      <c r="D634" s="21"/>
      <c r="E634" s="25"/>
      <c r="F634" s="25"/>
      <c r="G634" s="12"/>
      <c r="J634" s="5"/>
      <c r="L634" s="461"/>
    </row>
    <row r="635" spans="2:12" s="3" customFormat="1" ht="11.25" customHeight="1" x14ac:dyDescent="0.2">
      <c r="B635" s="368"/>
      <c r="D635" s="21"/>
      <c r="E635" s="25"/>
      <c r="F635" s="25"/>
      <c r="G635" s="12"/>
      <c r="J635" s="5"/>
      <c r="L635" s="461"/>
    </row>
    <row r="636" spans="2:12" s="3" customFormat="1" ht="11.25" customHeight="1" x14ac:dyDescent="0.2">
      <c r="B636" s="368"/>
      <c r="D636" s="21"/>
      <c r="E636" s="25"/>
      <c r="F636" s="25"/>
      <c r="G636" s="12"/>
      <c r="J636" s="5"/>
      <c r="L636" s="461"/>
    </row>
    <row r="637" spans="2:12" s="3" customFormat="1" ht="11.25" customHeight="1" x14ac:dyDescent="0.2">
      <c r="B637" s="368"/>
      <c r="D637" s="21"/>
      <c r="E637" s="25"/>
      <c r="F637" s="25"/>
      <c r="G637" s="12"/>
      <c r="J637" s="5"/>
      <c r="L637" s="461"/>
    </row>
    <row r="638" spans="2:12" s="3" customFormat="1" ht="11.25" customHeight="1" x14ac:dyDescent="0.2">
      <c r="B638" s="368"/>
      <c r="D638" s="21"/>
      <c r="E638" s="25"/>
      <c r="F638" s="25"/>
      <c r="G638" s="12"/>
      <c r="J638" s="5"/>
      <c r="L638" s="461"/>
    </row>
    <row r="639" spans="2:12" s="3" customFormat="1" ht="11.25" customHeight="1" x14ac:dyDescent="0.2">
      <c r="B639" s="368"/>
      <c r="D639" s="21"/>
      <c r="E639" s="25"/>
      <c r="F639" s="25"/>
      <c r="G639" s="12"/>
      <c r="J639" s="5"/>
      <c r="L639" s="461"/>
    </row>
    <row r="640" spans="2:12" s="3" customFormat="1" ht="11.25" customHeight="1" x14ac:dyDescent="0.2">
      <c r="B640" s="368"/>
      <c r="D640" s="21"/>
      <c r="E640" s="25"/>
      <c r="F640" s="25"/>
      <c r="G640" s="12"/>
      <c r="J640" s="5"/>
      <c r="L640" s="461"/>
    </row>
    <row r="641" spans="2:12" s="3" customFormat="1" ht="11.25" customHeight="1" x14ac:dyDescent="0.2">
      <c r="B641" s="368"/>
      <c r="D641" s="21"/>
      <c r="E641" s="25"/>
      <c r="F641" s="25"/>
      <c r="G641" s="12"/>
      <c r="J641" s="5"/>
      <c r="L641" s="461"/>
    </row>
    <row r="642" spans="2:12" s="3" customFormat="1" ht="11.25" customHeight="1" x14ac:dyDescent="0.2">
      <c r="B642" s="368"/>
      <c r="D642" s="21"/>
      <c r="E642" s="25"/>
      <c r="F642" s="25"/>
      <c r="G642" s="12"/>
      <c r="J642" s="5"/>
      <c r="L642" s="461"/>
    </row>
    <row r="643" spans="2:12" s="3" customFormat="1" ht="11.25" customHeight="1" x14ac:dyDescent="0.2">
      <c r="B643" s="368"/>
      <c r="D643" s="21"/>
      <c r="E643" s="25"/>
      <c r="F643" s="25"/>
      <c r="G643" s="12"/>
      <c r="J643" s="5"/>
      <c r="L643" s="461"/>
    </row>
    <row r="644" spans="2:12" s="3" customFormat="1" ht="11.25" customHeight="1" x14ac:dyDescent="0.2">
      <c r="B644" s="368"/>
      <c r="D644" s="21"/>
      <c r="E644" s="25"/>
      <c r="F644" s="25"/>
      <c r="G644" s="12"/>
      <c r="J644" s="5"/>
      <c r="L644" s="461"/>
    </row>
    <row r="645" spans="2:12" s="3" customFormat="1" ht="11.25" customHeight="1" x14ac:dyDescent="0.2">
      <c r="B645" s="368"/>
      <c r="D645" s="21"/>
      <c r="E645" s="25"/>
      <c r="F645" s="25"/>
      <c r="G645" s="12"/>
      <c r="J645" s="5"/>
      <c r="L645" s="461"/>
    </row>
    <row r="646" spans="2:12" s="3" customFormat="1" ht="11.25" customHeight="1" x14ac:dyDescent="0.2">
      <c r="B646" s="368"/>
      <c r="D646" s="21"/>
      <c r="E646" s="25"/>
      <c r="F646" s="25"/>
      <c r="G646" s="12"/>
      <c r="J646" s="5"/>
      <c r="L646" s="461"/>
    </row>
    <row r="647" spans="2:12" s="3" customFormat="1" ht="11.25" customHeight="1" x14ac:dyDescent="0.2">
      <c r="B647" s="368"/>
      <c r="D647" s="21"/>
      <c r="E647" s="25"/>
      <c r="F647" s="25"/>
      <c r="G647" s="12"/>
      <c r="J647" s="5"/>
      <c r="L647" s="461"/>
    </row>
    <row r="648" spans="2:12" s="3" customFormat="1" ht="11.25" customHeight="1" x14ac:dyDescent="0.2">
      <c r="B648" s="368"/>
      <c r="D648" s="21"/>
      <c r="E648" s="25"/>
      <c r="F648" s="25"/>
      <c r="G648" s="12"/>
      <c r="J648" s="5"/>
      <c r="L648" s="461"/>
    </row>
    <row r="649" spans="2:12" s="3" customFormat="1" ht="11.25" customHeight="1" x14ac:dyDescent="0.2">
      <c r="B649" s="368"/>
      <c r="D649" s="21"/>
      <c r="E649" s="25"/>
      <c r="F649" s="25"/>
      <c r="G649" s="12"/>
      <c r="J649" s="5"/>
      <c r="L649" s="461"/>
    </row>
    <row r="650" spans="2:12" s="3" customFormat="1" ht="11.25" customHeight="1" x14ac:dyDescent="0.2">
      <c r="B650" s="368"/>
      <c r="D650" s="21"/>
      <c r="E650" s="25"/>
      <c r="F650" s="25"/>
      <c r="G650" s="12"/>
      <c r="J650" s="5"/>
      <c r="L650" s="461"/>
    </row>
    <row r="651" spans="2:12" s="3" customFormat="1" ht="11.25" customHeight="1" x14ac:dyDescent="0.2">
      <c r="B651" s="368"/>
      <c r="D651" s="21"/>
      <c r="E651" s="25"/>
      <c r="F651" s="25"/>
      <c r="G651" s="12"/>
      <c r="J651" s="5"/>
      <c r="L651" s="461"/>
    </row>
    <row r="652" spans="2:12" s="3" customFormat="1" ht="11.25" customHeight="1" x14ac:dyDescent="0.2">
      <c r="B652" s="368"/>
      <c r="D652" s="21"/>
      <c r="E652" s="25"/>
      <c r="F652" s="25"/>
      <c r="G652" s="12"/>
      <c r="J652" s="5"/>
      <c r="L652" s="461"/>
    </row>
    <row r="653" spans="2:12" s="3" customFormat="1" ht="11.25" customHeight="1" x14ac:dyDescent="0.2">
      <c r="B653" s="368"/>
      <c r="D653" s="21"/>
      <c r="E653" s="25"/>
      <c r="F653" s="25"/>
      <c r="G653" s="12"/>
      <c r="J653" s="5"/>
      <c r="L653" s="461"/>
    </row>
    <row r="654" spans="2:12" s="3" customFormat="1" ht="11.25" customHeight="1" x14ac:dyDescent="0.2">
      <c r="B654" s="368"/>
      <c r="D654" s="21"/>
      <c r="E654" s="25"/>
      <c r="F654" s="25"/>
      <c r="G654" s="12"/>
      <c r="J654" s="5"/>
      <c r="L654" s="461"/>
    </row>
    <row r="655" spans="2:12" s="3" customFormat="1" ht="11.25" customHeight="1" x14ac:dyDescent="0.2">
      <c r="B655" s="368"/>
      <c r="D655" s="21"/>
      <c r="E655" s="25"/>
      <c r="F655" s="25"/>
      <c r="G655" s="12"/>
      <c r="J655" s="5"/>
      <c r="L655" s="461"/>
    </row>
    <row r="656" spans="2:12" s="3" customFormat="1" ht="11.25" customHeight="1" x14ac:dyDescent="0.2">
      <c r="B656" s="368"/>
      <c r="D656" s="21"/>
      <c r="E656" s="25"/>
      <c r="F656" s="25"/>
      <c r="G656" s="12"/>
      <c r="J656" s="5"/>
      <c r="L656" s="461"/>
    </row>
    <row r="657" spans="2:12" s="3" customFormat="1" ht="11.25" customHeight="1" x14ac:dyDescent="0.2">
      <c r="B657" s="368"/>
      <c r="D657" s="21"/>
      <c r="E657" s="25"/>
      <c r="F657" s="25"/>
      <c r="G657" s="12"/>
      <c r="J657" s="5"/>
      <c r="L657" s="461"/>
    </row>
    <row r="658" spans="2:12" s="3" customFormat="1" ht="11.25" customHeight="1" x14ac:dyDescent="0.2">
      <c r="B658" s="368"/>
      <c r="D658" s="21"/>
      <c r="E658" s="25"/>
      <c r="F658" s="25"/>
      <c r="G658" s="12"/>
      <c r="J658" s="5"/>
      <c r="L658" s="461"/>
    </row>
    <row r="659" spans="2:12" s="3" customFormat="1" ht="11.25" customHeight="1" x14ac:dyDescent="0.2">
      <c r="B659" s="368"/>
      <c r="D659" s="21"/>
      <c r="E659" s="25"/>
      <c r="F659" s="25"/>
      <c r="G659" s="12"/>
      <c r="J659" s="5"/>
      <c r="L659" s="461"/>
    </row>
    <row r="660" spans="2:12" s="3" customFormat="1" ht="11.25" customHeight="1" x14ac:dyDescent="0.2">
      <c r="B660" s="368"/>
      <c r="D660" s="21"/>
      <c r="E660" s="25"/>
      <c r="F660" s="25"/>
      <c r="G660" s="12"/>
      <c r="J660" s="5"/>
      <c r="L660" s="461"/>
    </row>
    <row r="661" spans="2:12" s="3" customFormat="1" ht="11.25" customHeight="1" x14ac:dyDescent="0.2">
      <c r="B661" s="368"/>
      <c r="D661" s="21"/>
      <c r="E661" s="25"/>
      <c r="F661" s="25"/>
      <c r="G661" s="12"/>
      <c r="J661" s="5"/>
      <c r="L661" s="461"/>
    </row>
    <row r="662" spans="2:12" s="3" customFormat="1" ht="11.25" customHeight="1" x14ac:dyDescent="0.2">
      <c r="B662" s="368"/>
      <c r="D662" s="21"/>
      <c r="E662" s="25"/>
      <c r="F662" s="25"/>
      <c r="G662" s="12"/>
      <c r="J662" s="5"/>
      <c r="L662" s="461"/>
    </row>
    <row r="663" spans="2:12" s="3" customFormat="1" ht="11.25" customHeight="1" x14ac:dyDescent="0.2">
      <c r="B663" s="368"/>
      <c r="D663" s="21"/>
      <c r="E663" s="25"/>
      <c r="F663" s="25"/>
      <c r="G663" s="12"/>
      <c r="J663" s="5"/>
      <c r="L663" s="461"/>
    </row>
    <row r="664" spans="2:12" s="3" customFormat="1" ht="11.25" customHeight="1" x14ac:dyDescent="0.2">
      <c r="B664" s="368"/>
      <c r="D664" s="21"/>
      <c r="E664" s="25"/>
      <c r="F664" s="25"/>
      <c r="G664" s="12"/>
      <c r="J664" s="5"/>
      <c r="L664" s="461"/>
    </row>
    <row r="665" spans="2:12" s="3" customFormat="1" ht="11.25" customHeight="1" x14ac:dyDescent="0.2">
      <c r="B665" s="368"/>
      <c r="D665" s="21"/>
      <c r="E665" s="25"/>
      <c r="F665" s="25"/>
      <c r="G665" s="12"/>
      <c r="J665" s="5"/>
      <c r="L665" s="461"/>
    </row>
    <row r="666" spans="2:12" s="3" customFormat="1" ht="11.25" customHeight="1" x14ac:dyDescent="0.2">
      <c r="B666" s="368"/>
      <c r="D666" s="21"/>
      <c r="E666" s="25"/>
      <c r="F666" s="25"/>
      <c r="G666" s="12"/>
      <c r="J666" s="5"/>
      <c r="L666" s="461"/>
    </row>
    <row r="667" spans="2:12" s="3" customFormat="1" ht="11.25" customHeight="1" x14ac:dyDescent="0.2">
      <c r="B667" s="368"/>
      <c r="D667" s="21"/>
      <c r="E667" s="25"/>
      <c r="F667" s="25"/>
      <c r="G667" s="12"/>
      <c r="J667" s="5"/>
      <c r="L667" s="461"/>
    </row>
    <row r="668" spans="2:12" s="3" customFormat="1" ht="11.25" customHeight="1" x14ac:dyDescent="0.2">
      <c r="B668" s="368"/>
      <c r="D668" s="21"/>
      <c r="E668" s="25"/>
      <c r="F668" s="25"/>
      <c r="G668" s="12"/>
      <c r="J668" s="5"/>
      <c r="L668" s="461"/>
    </row>
    <row r="669" spans="2:12" s="3" customFormat="1" ht="11.25" customHeight="1" x14ac:dyDescent="0.2">
      <c r="B669" s="368"/>
      <c r="D669" s="21"/>
      <c r="E669" s="25"/>
      <c r="F669" s="25"/>
      <c r="G669" s="12"/>
      <c r="J669" s="5"/>
      <c r="L669" s="461"/>
    </row>
    <row r="670" spans="2:12" s="3" customFormat="1" ht="11.25" customHeight="1" x14ac:dyDescent="0.2">
      <c r="B670" s="368"/>
      <c r="D670" s="21"/>
      <c r="E670" s="25"/>
      <c r="F670" s="25"/>
      <c r="G670" s="12"/>
      <c r="J670" s="5"/>
      <c r="L670" s="461"/>
    </row>
    <row r="671" spans="2:12" s="3" customFormat="1" ht="11.25" customHeight="1" x14ac:dyDescent="0.2">
      <c r="B671" s="368"/>
      <c r="D671" s="21"/>
      <c r="E671" s="25"/>
      <c r="F671" s="25"/>
      <c r="G671" s="12"/>
      <c r="J671" s="5"/>
      <c r="L671" s="461"/>
    </row>
    <row r="672" spans="2:12" s="3" customFormat="1" ht="11.25" customHeight="1" x14ac:dyDescent="0.2">
      <c r="B672" s="368"/>
      <c r="D672" s="21"/>
      <c r="E672" s="25"/>
      <c r="F672" s="25"/>
      <c r="G672" s="12"/>
      <c r="J672" s="5"/>
      <c r="L672" s="461"/>
    </row>
    <row r="673" spans="2:12" s="3" customFormat="1" ht="11.25" customHeight="1" x14ac:dyDescent="0.2">
      <c r="B673" s="368"/>
      <c r="D673" s="21"/>
      <c r="E673" s="25"/>
      <c r="F673" s="25"/>
      <c r="G673" s="12"/>
      <c r="J673" s="5"/>
      <c r="L673" s="461"/>
    </row>
    <row r="674" spans="2:12" s="3" customFormat="1" ht="11.25" customHeight="1" x14ac:dyDescent="0.2">
      <c r="B674" s="368"/>
      <c r="D674" s="21"/>
      <c r="E674" s="25"/>
      <c r="F674" s="25"/>
      <c r="G674" s="12"/>
      <c r="J674" s="5"/>
      <c r="L674" s="461"/>
    </row>
    <row r="675" spans="2:12" s="3" customFormat="1" ht="11.25" customHeight="1" x14ac:dyDescent="0.2">
      <c r="B675" s="368"/>
      <c r="D675" s="21"/>
      <c r="E675" s="25"/>
      <c r="F675" s="25"/>
      <c r="G675" s="12"/>
      <c r="J675" s="5"/>
      <c r="L675" s="461"/>
    </row>
    <row r="676" spans="2:12" s="3" customFormat="1" ht="11.25" customHeight="1" x14ac:dyDescent="0.2">
      <c r="B676" s="368"/>
      <c r="D676" s="21"/>
      <c r="E676" s="25"/>
      <c r="F676" s="25"/>
      <c r="G676" s="12"/>
      <c r="J676" s="5"/>
      <c r="L676" s="461"/>
    </row>
    <row r="677" spans="2:12" s="3" customFormat="1" ht="11.25" customHeight="1" x14ac:dyDescent="0.2">
      <c r="B677" s="368"/>
      <c r="D677" s="21"/>
      <c r="E677" s="25"/>
      <c r="F677" s="25"/>
      <c r="G677" s="12"/>
      <c r="J677" s="5"/>
      <c r="L677" s="461"/>
    </row>
    <row r="678" spans="2:12" s="3" customFormat="1" ht="11.25" customHeight="1" x14ac:dyDescent="0.2">
      <c r="B678" s="368"/>
      <c r="D678" s="21"/>
      <c r="E678" s="25"/>
      <c r="F678" s="25"/>
      <c r="G678" s="12"/>
      <c r="J678" s="5"/>
      <c r="L678" s="461"/>
    </row>
    <row r="679" spans="2:12" s="3" customFormat="1" ht="11.25" customHeight="1" x14ac:dyDescent="0.2">
      <c r="B679" s="368"/>
      <c r="D679" s="21"/>
      <c r="E679" s="25"/>
      <c r="F679" s="25"/>
      <c r="G679" s="12"/>
      <c r="J679" s="5"/>
      <c r="L679" s="461"/>
    </row>
    <row r="680" spans="2:12" s="3" customFormat="1" ht="11.25" customHeight="1" x14ac:dyDescent="0.2">
      <c r="B680" s="368"/>
      <c r="D680" s="21"/>
      <c r="E680" s="25"/>
      <c r="F680" s="25"/>
      <c r="G680" s="12"/>
      <c r="J680" s="5"/>
      <c r="L680" s="461"/>
    </row>
    <row r="681" spans="2:12" s="3" customFormat="1" ht="11.25" customHeight="1" x14ac:dyDescent="0.2">
      <c r="B681" s="368"/>
      <c r="D681" s="21"/>
      <c r="E681" s="25"/>
      <c r="F681" s="25"/>
      <c r="G681" s="12"/>
      <c r="J681" s="5"/>
      <c r="L681" s="461"/>
    </row>
    <row r="682" spans="2:12" s="3" customFormat="1" ht="11.25" customHeight="1" x14ac:dyDescent="0.2">
      <c r="B682" s="368"/>
      <c r="D682" s="21"/>
      <c r="E682" s="25"/>
      <c r="F682" s="25"/>
      <c r="G682" s="12"/>
      <c r="J682" s="5"/>
      <c r="L682" s="461"/>
    </row>
    <row r="683" spans="2:12" s="3" customFormat="1" ht="11.25" customHeight="1" x14ac:dyDescent="0.2">
      <c r="B683" s="368"/>
      <c r="D683" s="21"/>
      <c r="E683" s="25"/>
      <c r="F683" s="25"/>
      <c r="G683" s="12"/>
      <c r="J683" s="5"/>
      <c r="L683" s="461"/>
    </row>
    <row r="684" spans="2:12" s="3" customFormat="1" ht="11.25" customHeight="1" x14ac:dyDescent="0.2">
      <c r="B684" s="368"/>
      <c r="D684" s="21"/>
      <c r="E684" s="25"/>
      <c r="F684" s="25"/>
      <c r="G684" s="12"/>
      <c r="J684" s="5"/>
      <c r="L684" s="461"/>
    </row>
    <row r="685" spans="2:12" s="3" customFormat="1" ht="11.25" customHeight="1" x14ac:dyDescent="0.2">
      <c r="B685" s="368"/>
      <c r="D685" s="21"/>
      <c r="E685" s="25"/>
      <c r="F685" s="25"/>
      <c r="G685" s="12"/>
      <c r="J685" s="5"/>
      <c r="L685" s="461"/>
    </row>
    <row r="686" spans="2:12" s="3" customFormat="1" ht="11.25" customHeight="1" x14ac:dyDescent="0.2">
      <c r="B686" s="368"/>
      <c r="D686" s="21"/>
      <c r="E686" s="25"/>
      <c r="F686" s="25"/>
      <c r="G686" s="12"/>
      <c r="J686" s="5"/>
      <c r="L686" s="461"/>
    </row>
    <row r="687" spans="2:12" s="3" customFormat="1" ht="11.25" customHeight="1" x14ac:dyDescent="0.2">
      <c r="B687" s="368"/>
      <c r="D687" s="21"/>
      <c r="E687" s="25"/>
      <c r="F687" s="25"/>
      <c r="G687" s="12"/>
      <c r="J687" s="5"/>
      <c r="L687" s="461"/>
    </row>
    <row r="688" spans="2:12" s="3" customFormat="1" ht="11.25" customHeight="1" x14ac:dyDescent="0.2">
      <c r="B688" s="368"/>
      <c r="D688" s="21"/>
      <c r="E688" s="25"/>
      <c r="F688" s="25"/>
      <c r="G688" s="12"/>
      <c r="J688" s="5"/>
      <c r="L688" s="461"/>
    </row>
    <row r="689" spans="2:12" s="3" customFormat="1" ht="11.25" customHeight="1" x14ac:dyDescent="0.2">
      <c r="B689" s="368"/>
      <c r="D689" s="21"/>
      <c r="E689" s="25"/>
      <c r="F689" s="25"/>
      <c r="G689" s="12"/>
      <c r="J689" s="5"/>
      <c r="L689" s="461"/>
    </row>
    <row r="690" spans="2:12" s="3" customFormat="1" ht="11.25" customHeight="1" x14ac:dyDescent="0.2">
      <c r="B690" s="368"/>
      <c r="D690" s="21"/>
      <c r="E690" s="25"/>
      <c r="F690" s="25"/>
      <c r="G690" s="12"/>
      <c r="J690" s="5"/>
      <c r="L690" s="461"/>
    </row>
    <row r="691" spans="2:12" s="3" customFormat="1" ht="11.25" customHeight="1" x14ac:dyDescent="0.2">
      <c r="B691" s="368"/>
      <c r="D691" s="21"/>
      <c r="E691" s="25"/>
      <c r="F691" s="25"/>
      <c r="G691" s="12"/>
      <c r="J691" s="5"/>
      <c r="L691" s="461"/>
    </row>
    <row r="692" spans="2:12" s="3" customFormat="1" ht="11.25" customHeight="1" x14ac:dyDescent="0.2">
      <c r="B692" s="368"/>
      <c r="D692" s="21"/>
      <c r="E692" s="25"/>
      <c r="F692" s="25"/>
      <c r="G692" s="12"/>
      <c r="J692" s="5"/>
      <c r="L692" s="461"/>
    </row>
    <row r="693" spans="2:12" s="3" customFormat="1" ht="11.25" customHeight="1" x14ac:dyDescent="0.2">
      <c r="B693" s="368"/>
      <c r="D693" s="21"/>
      <c r="E693" s="25"/>
      <c r="F693" s="25"/>
      <c r="G693" s="12"/>
      <c r="J693" s="5"/>
      <c r="L693" s="461"/>
    </row>
    <row r="694" spans="2:12" s="3" customFormat="1" ht="11.25" customHeight="1" x14ac:dyDescent="0.2">
      <c r="B694" s="368"/>
      <c r="D694" s="21"/>
      <c r="E694" s="25"/>
      <c r="F694" s="25"/>
      <c r="G694" s="12"/>
      <c r="J694" s="5"/>
      <c r="L694" s="461"/>
    </row>
    <row r="695" spans="2:12" s="3" customFormat="1" ht="11.25" customHeight="1" x14ac:dyDescent="0.2">
      <c r="B695" s="368"/>
      <c r="D695" s="21"/>
      <c r="E695" s="25"/>
      <c r="F695" s="25"/>
      <c r="G695" s="12"/>
      <c r="J695" s="5"/>
      <c r="L695" s="461"/>
    </row>
    <row r="696" spans="2:12" s="3" customFormat="1" ht="11.25" customHeight="1" x14ac:dyDescent="0.2">
      <c r="B696" s="368"/>
      <c r="D696" s="21"/>
      <c r="E696" s="25"/>
      <c r="F696" s="25"/>
      <c r="G696" s="12"/>
      <c r="J696" s="5"/>
      <c r="L696" s="461"/>
    </row>
    <row r="697" spans="2:12" s="3" customFormat="1" ht="11.25" customHeight="1" x14ac:dyDescent="0.2">
      <c r="B697" s="368"/>
      <c r="D697" s="21"/>
      <c r="E697" s="25"/>
      <c r="F697" s="25"/>
      <c r="G697" s="12"/>
      <c r="J697" s="5"/>
      <c r="L697" s="461"/>
    </row>
    <row r="698" spans="2:12" s="3" customFormat="1" ht="11.25" customHeight="1" x14ac:dyDescent="0.2">
      <c r="B698" s="368"/>
      <c r="D698" s="21"/>
      <c r="E698" s="25"/>
      <c r="F698" s="25"/>
      <c r="G698" s="12"/>
      <c r="J698" s="5"/>
      <c r="L698" s="461"/>
    </row>
    <row r="699" spans="2:12" s="3" customFormat="1" ht="11.25" customHeight="1" x14ac:dyDescent="0.2">
      <c r="B699" s="368"/>
      <c r="D699" s="21"/>
      <c r="E699" s="25"/>
      <c r="F699" s="25"/>
      <c r="G699" s="12"/>
      <c r="J699" s="5"/>
      <c r="L699" s="461"/>
    </row>
    <row r="700" spans="2:12" s="3" customFormat="1" ht="11.25" customHeight="1" x14ac:dyDescent="0.2">
      <c r="B700" s="368"/>
      <c r="D700" s="21"/>
      <c r="E700" s="25"/>
      <c r="F700" s="25"/>
      <c r="G700" s="12"/>
      <c r="J700" s="5"/>
      <c r="L700" s="461"/>
    </row>
    <row r="701" spans="2:12" s="3" customFormat="1" ht="11.25" customHeight="1" x14ac:dyDescent="0.2">
      <c r="B701" s="368"/>
      <c r="D701" s="21"/>
      <c r="E701" s="25"/>
      <c r="F701" s="25"/>
      <c r="G701" s="12"/>
      <c r="J701" s="5"/>
      <c r="L701" s="461"/>
    </row>
    <row r="702" spans="2:12" s="3" customFormat="1" ht="11.25" customHeight="1" x14ac:dyDescent="0.2">
      <c r="B702" s="368"/>
      <c r="D702" s="21"/>
      <c r="E702" s="25"/>
      <c r="F702" s="25"/>
      <c r="G702" s="12"/>
      <c r="J702" s="5"/>
      <c r="L702" s="461"/>
    </row>
    <row r="703" spans="2:12" s="3" customFormat="1" ht="11.25" customHeight="1" x14ac:dyDescent="0.2">
      <c r="B703" s="368"/>
      <c r="D703" s="21"/>
      <c r="E703" s="25"/>
      <c r="F703" s="25"/>
      <c r="G703" s="12"/>
      <c r="J703" s="5"/>
      <c r="L703" s="461"/>
    </row>
    <row r="704" spans="2:12" s="3" customFormat="1" ht="11.25" customHeight="1" x14ac:dyDescent="0.2">
      <c r="B704" s="368"/>
      <c r="D704" s="21"/>
      <c r="E704" s="25"/>
      <c r="F704" s="25"/>
      <c r="G704" s="12"/>
      <c r="J704" s="5"/>
      <c r="L704" s="461"/>
    </row>
    <row r="705" spans="2:12" s="3" customFormat="1" ht="11.25" customHeight="1" x14ac:dyDescent="0.2">
      <c r="B705" s="368"/>
      <c r="D705" s="21"/>
      <c r="E705" s="25"/>
      <c r="F705" s="25"/>
      <c r="G705" s="12"/>
      <c r="J705" s="5"/>
      <c r="L705" s="461"/>
    </row>
    <row r="706" spans="2:12" s="3" customFormat="1" ht="11.25" customHeight="1" x14ac:dyDescent="0.2">
      <c r="B706" s="368"/>
      <c r="D706" s="21"/>
      <c r="E706" s="25"/>
      <c r="F706" s="25"/>
      <c r="G706" s="12"/>
      <c r="J706" s="5"/>
      <c r="L706" s="461"/>
    </row>
    <row r="707" spans="2:12" s="3" customFormat="1" ht="11.25" customHeight="1" x14ac:dyDescent="0.2">
      <c r="B707" s="368"/>
      <c r="D707" s="21"/>
      <c r="E707" s="25"/>
      <c r="F707" s="25"/>
      <c r="G707" s="12"/>
      <c r="J707" s="5"/>
      <c r="L707" s="461"/>
    </row>
    <row r="708" spans="2:12" s="3" customFormat="1" ht="11.25" customHeight="1" x14ac:dyDescent="0.2">
      <c r="B708" s="368"/>
      <c r="D708" s="21"/>
      <c r="E708" s="25"/>
      <c r="F708" s="25"/>
      <c r="G708" s="12"/>
      <c r="J708" s="5"/>
      <c r="L708" s="461"/>
    </row>
    <row r="709" spans="2:12" s="3" customFormat="1" ht="11.25" customHeight="1" x14ac:dyDescent="0.2">
      <c r="B709" s="368"/>
      <c r="D709" s="21"/>
      <c r="E709" s="25"/>
      <c r="F709" s="25"/>
      <c r="G709" s="12"/>
      <c r="J709" s="5"/>
      <c r="L709" s="461"/>
    </row>
    <row r="710" spans="2:12" s="3" customFormat="1" ht="11.25" customHeight="1" x14ac:dyDescent="0.2">
      <c r="B710" s="368"/>
      <c r="D710" s="21"/>
      <c r="E710" s="25"/>
      <c r="F710" s="25"/>
      <c r="G710" s="12"/>
      <c r="J710" s="5"/>
      <c r="L710" s="461"/>
    </row>
    <row r="711" spans="2:12" s="3" customFormat="1" ht="11.25" customHeight="1" x14ac:dyDescent="0.2">
      <c r="B711" s="368"/>
      <c r="D711" s="21"/>
      <c r="E711" s="25"/>
      <c r="F711" s="25"/>
      <c r="G711" s="12"/>
      <c r="J711" s="5"/>
      <c r="L711" s="461"/>
    </row>
    <row r="712" spans="2:12" s="3" customFormat="1" ht="11.25" customHeight="1" x14ac:dyDescent="0.2">
      <c r="B712" s="368"/>
      <c r="D712" s="21"/>
      <c r="E712" s="25"/>
      <c r="F712" s="25"/>
      <c r="G712" s="12"/>
      <c r="J712" s="5"/>
      <c r="L712" s="461"/>
    </row>
    <row r="713" spans="2:12" s="3" customFormat="1" ht="11.25" customHeight="1" x14ac:dyDescent="0.2">
      <c r="B713" s="368"/>
      <c r="D713" s="21"/>
      <c r="E713" s="25"/>
      <c r="F713" s="25"/>
      <c r="G713" s="12"/>
      <c r="J713" s="5"/>
      <c r="L713" s="461"/>
    </row>
    <row r="714" spans="2:12" s="3" customFormat="1" ht="11.25" customHeight="1" x14ac:dyDescent="0.2">
      <c r="B714" s="368"/>
      <c r="D714" s="21"/>
      <c r="E714" s="25"/>
      <c r="F714" s="25"/>
      <c r="G714" s="12"/>
      <c r="J714" s="5"/>
      <c r="L714" s="461"/>
    </row>
    <row r="715" spans="2:12" s="3" customFormat="1" ht="11.25" customHeight="1" x14ac:dyDescent="0.2">
      <c r="B715" s="368"/>
      <c r="D715" s="21"/>
      <c r="E715" s="25"/>
      <c r="F715" s="25"/>
      <c r="G715" s="12"/>
      <c r="J715" s="5"/>
      <c r="L715" s="461"/>
    </row>
    <row r="716" spans="2:12" s="3" customFormat="1" ht="11.25" customHeight="1" x14ac:dyDescent="0.2">
      <c r="B716" s="368"/>
      <c r="D716" s="21"/>
      <c r="E716" s="25"/>
      <c r="F716" s="25"/>
      <c r="G716" s="12"/>
      <c r="J716" s="5"/>
      <c r="L716" s="461"/>
    </row>
    <row r="717" spans="2:12" s="3" customFormat="1" ht="11.25" customHeight="1" x14ac:dyDescent="0.2">
      <c r="B717" s="368"/>
      <c r="D717" s="21"/>
      <c r="E717" s="25"/>
      <c r="F717" s="25"/>
      <c r="G717" s="12"/>
      <c r="J717" s="5"/>
      <c r="L717" s="461"/>
    </row>
    <row r="718" spans="2:12" s="3" customFormat="1" ht="11.25" customHeight="1" x14ac:dyDescent="0.2">
      <c r="B718" s="368"/>
      <c r="D718" s="21"/>
      <c r="E718" s="25"/>
      <c r="F718" s="25"/>
      <c r="G718" s="12"/>
      <c r="J718" s="5"/>
      <c r="L718" s="461"/>
    </row>
    <row r="719" spans="2:12" s="3" customFormat="1" ht="11.25" customHeight="1" x14ac:dyDescent="0.2">
      <c r="B719" s="368"/>
      <c r="D719" s="21"/>
      <c r="E719" s="25"/>
      <c r="F719" s="25"/>
      <c r="G719" s="12"/>
      <c r="J719" s="5"/>
      <c r="L719" s="461"/>
    </row>
    <row r="720" spans="2:12" s="3" customFormat="1" ht="11.25" customHeight="1" x14ac:dyDescent="0.2">
      <c r="B720" s="368"/>
      <c r="D720" s="21"/>
      <c r="E720" s="25"/>
      <c r="F720" s="25"/>
      <c r="G720" s="12"/>
      <c r="J720" s="5"/>
      <c r="L720" s="461"/>
    </row>
    <row r="721" spans="2:12" s="3" customFormat="1" ht="11.25" customHeight="1" x14ac:dyDescent="0.2">
      <c r="B721" s="368"/>
      <c r="D721" s="21"/>
      <c r="E721" s="25"/>
      <c r="F721" s="25"/>
      <c r="G721" s="12"/>
      <c r="J721" s="5"/>
      <c r="L721" s="461"/>
    </row>
    <row r="722" spans="2:12" s="3" customFormat="1" ht="11.25" customHeight="1" x14ac:dyDescent="0.2">
      <c r="B722" s="368"/>
      <c r="D722" s="21"/>
      <c r="E722" s="25"/>
      <c r="F722" s="25"/>
      <c r="G722" s="12"/>
      <c r="J722" s="5"/>
      <c r="L722" s="461"/>
    </row>
    <row r="723" spans="2:12" s="3" customFormat="1" ht="11.25" customHeight="1" x14ac:dyDescent="0.2">
      <c r="B723" s="368"/>
      <c r="D723" s="21"/>
      <c r="E723" s="25"/>
      <c r="F723" s="25"/>
      <c r="G723" s="12"/>
      <c r="J723" s="5"/>
      <c r="L723" s="461"/>
    </row>
    <row r="724" spans="2:12" s="3" customFormat="1" ht="11.25" customHeight="1" x14ac:dyDescent="0.2">
      <c r="B724" s="368"/>
      <c r="D724" s="21"/>
      <c r="E724" s="25"/>
      <c r="F724" s="25"/>
      <c r="G724" s="12"/>
      <c r="J724" s="5"/>
      <c r="L724" s="461"/>
    </row>
    <row r="725" spans="2:12" s="3" customFormat="1" ht="11.25" customHeight="1" x14ac:dyDescent="0.2">
      <c r="B725" s="368"/>
      <c r="D725" s="21"/>
      <c r="E725" s="25"/>
      <c r="F725" s="25"/>
      <c r="G725" s="12"/>
      <c r="J725" s="5"/>
      <c r="L725" s="461"/>
    </row>
    <row r="726" spans="2:12" s="3" customFormat="1" ht="11.25" customHeight="1" x14ac:dyDescent="0.2">
      <c r="B726" s="368"/>
      <c r="D726" s="21"/>
      <c r="E726" s="25"/>
      <c r="F726" s="25"/>
      <c r="G726" s="12"/>
      <c r="J726" s="5"/>
      <c r="L726" s="461"/>
    </row>
    <row r="727" spans="2:12" s="3" customFormat="1" ht="11.25" customHeight="1" x14ac:dyDescent="0.2">
      <c r="B727" s="368"/>
      <c r="D727" s="21"/>
      <c r="E727" s="25"/>
      <c r="F727" s="25"/>
      <c r="G727" s="12"/>
      <c r="J727" s="5"/>
      <c r="L727" s="461"/>
    </row>
    <row r="728" spans="2:12" s="3" customFormat="1" ht="11.25" customHeight="1" x14ac:dyDescent="0.2">
      <c r="B728" s="368"/>
      <c r="D728" s="21"/>
      <c r="E728" s="25"/>
      <c r="F728" s="25"/>
      <c r="G728" s="12"/>
      <c r="J728" s="5"/>
      <c r="L728" s="461"/>
    </row>
    <row r="729" spans="2:12" s="3" customFormat="1" ht="11.25" customHeight="1" x14ac:dyDescent="0.2">
      <c r="B729" s="368"/>
      <c r="D729" s="21"/>
      <c r="E729" s="25"/>
      <c r="F729" s="25"/>
      <c r="G729" s="12"/>
      <c r="J729" s="5"/>
      <c r="L729" s="461"/>
    </row>
    <row r="730" spans="2:12" s="3" customFormat="1" ht="11.25" customHeight="1" x14ac:dyDescent="0.2">
      <c r="B730" s="368"/>
      <c r="D730" s="21"/>
      <c r="E730" s="25"/>
      <c r="F730" s="25"/>
      <c r="G730" s="12"/>
      <c r="J730" s="5"/>
      <c r="L730" s="461"/>
    </row>
    <row r="731" spans="2:12" s="3" customFormat="1" ht="11.25" customHeight="1" x14ac:dyDescent="0.2">
      <c r="B731" s="368"/>
      <c r="D731" s="21"/>
      <c r="E731" s="25"/>
      <c r="F731" s="25"/>
      <c r="G731" s="12"/>
      <c r="J731" s="5"/>
      <c r="L731" s="461"/>
    </row>
    <row r="732" spans="2:12" s="3" customFormat="1" ht="11.25" customHeight="1" x14ac:dyDescent="0.2">
      <c r="B732" s="368"/>
      <c r="D732" s="21"/>
      <c r="E732" s="25"/>
      <c r="F732" s="25"/>
      <c r="G732" s="12"/>
      <c r="J732" s="5"/>
      <c r="L732" s="461"/>
    </row>
    <row r="733" spans="2:12" s="3" customFormat="1" ht="11.25" customHeight="1" x14ac:dyDescent="0.2">
      <c r="B733" s="368"/>
      <c r="D733" s="21"/>
      <c r="E733" s="25"/>
      <c r="F733" s="25"/>
      <c r="G733" s="12"/>
      <c r="J733" s="5"/>
      <c r="L733" s="461"/>
    </row>
    <row r="734" spans="2:12" s="3" customFormat="1" ht="11.25" customHeight="1" x14ac:dyDescent="0.2">
      <c r="B734" s="368"/>
      <c r="D734" s="21"/>
      <c r="E734" s="25"/>
      <c r="F734" s="25"/>
      <c r="G734" s="12"/>
      <c r="J734" s="5"/>
      <c r="L734" s="461"/>
    </row>
    <row r="735" spans="2:12" s="3" customFormat="1" ht="11.25" customHeight="1" x14ac:dyDescent="0.2">
      <c r="B735" s="368"/>
      <c r="D735" s="21"/>
      <c r="E735" s="25"/>
      <c r="F735" s="25"/>
      <c r="G735" s="12"/>
      <c r="J735" s="5"/>
      <c r="L735" s="461"/>
    </row>
    <row r="736" spans="2:12" s="3" customFormat="1" ht="11.25" customHeight="1" x14ac:dyDescent="0.2">
      <c r="B736" s="368"/>
      <c r="D736" s="21"/>
      <c r="E736" s="25"/>
      <c r="F736" s="25"/>
      <c r="G736" s="12"/>
      <c r="J736" s="5"/>
      <c r="L736" s="461"/>
    </row>
    <row r="737" spans="2:12" s="3" customFormat="1" ht="11.25" customHeight="1" x14ac:dyDescent="0.2">
      <c r="B737" s="368"/>
      <c r="D737" s="21"/>
      <c r="E737" s="25"/>
      <c r="F737" s="25"/>
      <c r="G737" s="12"/>
      <c r="J737" s="5"/>
      <c r="L737" s="461"/>
    </row>
    <row r="738" spans="2:12" s="3" customFormat="1" ht="11.25" customHeight="1" x14ac:dyDescent="0.2">
      <c r="B738" s="368"/>
      <c r="D738" s="21"/>
      <c r="E738" s="25"/>
      <c r="F738" s="25"/>
      <c r="G738" s="12"/>
      <c r="J738" s="5"/>
      <c r="L738" s="461"/>
    </row>
    <row r="739" spans="2:12" s="3" customFormat="1" ht="11.25" customHeight="1" x14ac:dyDescent="0.2">
      <c r="B739" s="368"/>
      <c r="D739" s="21"/>
      <c r="E739" s="25"/>
      <c r="F739" s="25"/>
      <c r="G739" s="12"/>
      <c r="J739" s="5"/>
      <c r="L739" s="461"/>
    </row>
    <row r="740" spans="2:12" s="3" customFormat="1" ht="11.25" customHeight="1" x14ac:dyDescent="0.2">
      <c r="B740" s="368"/>
      <c r="D740" s="21"/>
      <c r="E740" s="25"/>
      <c r="F740" s="25"/>
      <c r="G740" s="12"/>
      <c r="J740" s="5"/>
      <c r="L740" s="461"/>
    </row>
    <row r="741" spans="2:12" s="3" customFormat="1" ht="11.25" customHeight="1" x14ac:dyDescent="0.2">
      <c r="B741" s="368"/>
      <c r="D741" s="21"/>
      <c r="E741" s="25"/>
      <c r="F741" s="25"/>
      <c r="G741" s="12"/>
      <c r="J741" s="5"/>
      <c r="L741" s="461"/>
    </row>
    <row r="742" spans="2:12" s="3" customFormat="1" ht="11.25" customHeight="1" x14ac:dyDescent="0.2">
      <c r="B742" s="368"/>
      <c r="D742" s="21"/>
      <c r="E742" s="25"/>
      <c r="F742" s="25"/>
      <c r="G742" s="12"/>
      <c r="J742" s="5"/>
      <c r="L742" s="461"/>
    </row>
    <row r="743" spans="2:12" s="3" customFormat="1" ht="11.25" customHeight="1" x14ac:dyDescent="0.2">
      <c r="B743" s="368"/>
      <c r="D743" s="21"/>
      <c r="E743" s="25"/>
      <c r="F743" s="25"/>
      <c r="G743" s="12"/>
      <c r="J743" s="5"/>
      <c r="L743" s="461"/>
    </row>
    <row r="744" spans="2:12" s="3" customFormat="1" ht="11.25" customHeight="1" x14ac:dyDescent="0.2">
      <c r="B744" s="368"/>
      <c r="D744" s="21"/>
      <c r="E744" s="25"/>
      <c r="F744" s="25"/>
      <c r="G744" s="12"/>
      <c r="J744" s="5"/>
      <c r="L744" s="461"/>
    </row>
    <row r="745" spans="2:12" s="3" customFormat="1" ht="11.25" customHeight="1" x14ac:dyDescent="0.2">
      <c r="B745" s="368"/>
      <c r="D745" s="21"/>
      <c r="E745" s="25"/>
      <c r="F745" s="25"/>
      <c r="G745" s="12"/>
      <c r="J745" s="5"/>
      <c r="L745" s="461"/>
    </row>
    <row r="746" spans="2:12" s="3" customFormat="1" ht="11.25" customHeight="1" x14ac:dyDescent="0.2">
      <c r="B746" s="368"/>
      <c r="D746" s="21"/>
      <c r="E746" s="25"/>
      <c r="F746" s="25"/>
      <c r="G746" s="12"/>
      <c r="J746" s="5"/>
      <c r="L746" s="461"/>
    </row>
    <row r="747" spans="2:12" s="3" customFormat="1" ht="11.25" customHeight="1" x14ac:dyDescent="0.2">
      <c r="B747" s="368"/>
      <c r="D747" s="21"/>
      <c r="E747" s="25"/>
      <c r="F747" s="25"/>
      <c r="G747" s="12"/>
      <c r="J747" s="5"/>
      <c r="L747" s="461"/>
    </row>
    <row r="748" spans="2:12" s="3" customFormat="1" ht="11.25" customHeight="1" x14ac:dyDescent="0.2">
      <c r="B748" s="368"/>
      <c r="D748" s="21"/>
      <c r="E748" s="25"/>
      <c r="F748" s="25"/>
      <c r="G748" s="12"/>
      <c r="J748" s="5"/>
      <c r="L748" s="461"/>
    </row>
    <row r="749" spans="2:12" s="3" customFormat="1" ht="11.25" customHeight="1" x14ac:dyDescent="0.2">
      <c r="B749" s="368"/>
      <c r="D749" s="21"/>
      <c r="E749" s="25"/>
      <c r="F749" s="25"/>
      <c r="G749" s="12"/>
      <c r="J749" s="5"/>
      <c r="L749" s="461"/>
    </row>
    <row r="750" spans="2:12" s="3" customFormat="1" ht="11.25" customHeight="1" x14ac:dyDescent="0.2">
      <c r="B750" s="368"/>
      <c r="D750" s="21"/>
      <c r="E750" s="25"/>
      <c r="F750" s="25"/>
      <c r="G750" s="12"/>
      <c r="J750" s="5"/>
      <c r="L750" s="461"/>
    </row>
    <row r="751" spans="2:12" s="3" customFormat="1" ht="11.25" customHeight="1" x14ac:dyDescent="0.2">
      <c r="B751" s="368"/>
      <c r="D751" s="21"/>
      <c r="E751" s="25"/>
      <c r="F751" s="25"/>
      <c r="G751" s="12"/>
      <c r="J751" s="5"/>
      <c r="L751" s="461"/>
    </row>
    <row r="752" spans="2:12" s="3" customFormat="1" ht="11.25" customHeight="1" x14ac:dyDescent="0.2">
      <c r="B752" s="368"/>
      <c r="D752" s="21"/>
      <c r="E752" s="25"/>
      <c r="F752" s="25"/>
      <c r="G752" s="12"/>
      <c r="J752" s="5"/>
      <c r="L752" s="461"/>
    </row>
    <row r="753" spans="2:12" s="3" customFormat="1" ht="11.25" customHeight="1" x14ac:dyDescent="0.2">
      <c r="B753" s="368"/>
      <c r="D753" s="21"/>
      <c r="E753" s="25"/>
      <c r="F753" s="25"/>
      <c r="G753" s="12"/>
      <c r="J753" s="5"/>
      <c r="L753" s="461"/>
    </row>
    <row r="754" spans="2:12" s="3" customFormat="1" ht="11.25" customHeight="1" x14ac:dyDescent="0.2">
      <c r="B754" s="368"/>
      <c r="D754" s="21"/>
      <c r="E754" s="25"/>
      <c r="F754" s="25"/>
      <c r="G754" s="12"/>
      <c r="J754" s="5"/>
      <c r="L754" s="461"/>
    </row>
    <row r="755" spans="2:12" s="3" customFormat="1" ht="11.25" customHeight="1" x14ac:dyDescent="0.2">
      <c r="B755" s="368"/>
      <c r="D755" s="21"/>
      <c r="E755" s="25"/>
      <c r="F755" s="25"/>
      <c r="G755" s="12"/>
      <c r="J755" s="5"/>
      <c r="L755" s="461"/>
    </row>
    <row r="756" spans="2:12" s="3" customFormat="1" ht="11.25" customHeight="1" x14ac:dyDescent="0.2">
      <c r="B756" s="368"/>
      <c r="D756" s="21"/>
      <c r="E756" s="25"/>
      <c r="F756" s="25"/>
      <c r="G756" s="12"/>
      <c r="J756" s="5"/>
      <c r="L756" s="461"/>
    </row>
    <row r="757" spans="2:12" s="3" customFormat="1" ht="11.25" customHeight="1" x14ac:dyDescent="0.2">
      <c r="B757" s="368"/>
      <c r="D757" s="21"/>
      <c r="E757" s="25"/>
      <c r="F757" s="25"/>
      <c r="G757" s="12"/>
      <c r="J757" s="5"/>
      <c r="L757" s="461"/>
    </row>
    <row r="758" spans="2:12" s="3" customFormat="1" ht="11.25" customHeight="1" x14ac:dyDescent="0.2">
      <c r="B758" s="368"/>
      <c r="D758" s="21"/>
      <c r="E758" s="25"/>
      <c r="F758" s="25"/>
      <c r="G758" s="12"/>
      <c r="J758" s="5"/>
      <c r="L758" s="461"/>
    </row>
    <row r="759" spans="2:12" s="3" customFormat="1" ht="11.25" customHeight="1" x14ac:dyDescent="0.2">
      <c r="B759" s="368"/>
      <c r="D759" s="21"/>
      <c r="E759" s="25"/>
      <c r="F759" s="25"/>
      <c r="G759" s="12"/>
      <c r="J759" s="5"/>
      <c r="L759" s="461"/>
    </row>
    <row r="760" spans="2:12" s="3" customFormat="1" ht="11.25" customHeight="1" x14ac:dyDescent="0.2">
      <c r="B760" s="368"/>
      <c r="D760" s="21"/>
      <c r="E760" s="25"/>
      <c r="F760" s="25"/>
      <c r="G760" s="12"/>
      <c r="J760" s="5"/>
      <c r="L760" s="461"/>
    </row>
    <row r="761" spans="2:12" s="3" customFormat="1" ht="11.25" customHeight="1" x14ac:dyDescent="0.2">
      <c r="B761" s="368"/>
      <c r="D761" s="21"/>
      <c r="E761" s="25"/>
      <c r="F761" s="25"/>
      <c r="G761" s="12"/>
      <c r="J761" s="5"/>
      <c r="L761" s="461"/>
    </row>
    <row r="762" spans="2:12" s="3" customFormat="1" ht="11.25" customHeight="1" x14ac:dyDescent="0.2">
      <c r="B762" s="368"/>
      <c r="D762" s="21"/>
      <c r="E762" s="25"/>
      <c r="F762" s="25"/>
      <c r="G762" s="12"/>
      <c r="J762" s="5"/>
      <c r="L762" s="461"/>
    </row>
    <row r="763" spans="2:12" s="3" customFormat="1" ht="11.25" customHeight="1" x14ac:dyDescent="0.2">
      <c r="B763" s="368"/>
      <c r="D763" s="21"/>
      <c r="E763" s="25"/>
      <c r="F763" s="25"/>
      <c r="G763" s="12"/>
      <c r="J763" s="5"/>
      <c r="L763" s="461"/>
    </row>
    <row r="764" spans="2:12" s="3" customFormat="1" ht="11.25" customHeight="1" x14ac:dyDescent="0.2">
      <c r="B764" s="368"/>
      <c r="D764" s="21"/>
      <c r="E764" s="25"/>
      <c r="F764" s="25"/>
      <c r="G764" s="12"/>
      <c r="J764" s="5"/>
      <c r="L764" s="461"/>
    </row>
    <row r="765" spans="2:12" s="3" customFormat="1" ht="11.25" customHeight="1" x14ac:dyDescent="0.2">
      <c r="B765" s="368"/>
      <c r="D765" s="21"/>
      <c r="E765" s="25"/>
      <c r="F765" s="25"/>
      <c r="G765" s="12"/>
      <c r="J765" s="5"/>
      <c r="L765" s="461"/>
    </row>
    <row r="766" spans="2:12" s="3" customFormat="1" ht="11.25" customHeight="1" x14ac:dyDescent="0.2">
      <c r="B766" s="368"/>
      <c r="D766" s="21"/>
      <c r="E766" s="25"/>
      <c r="F766" s="25"/>
      <c r="G766" s="12"/>
      <c r="J766" s="5"/>
      <c r="L766" s="461"/>
    </row>
    <row r="767" spans="2:12" s="3" customFormat="1" ht="11.25" customHeight="1" x14ac:dyDescent="0.2">
      <c r="B767" s="368"/>
      <c r="D767" s="21"/>
      <c r="E767" s="25"/>
      <c r="F767" s="25"/>
      <c r="G767" s="12"/>
      <c r="J767" s="5"/>
      <c r="L767" s="461"/>
    </row>
    <row r="768" spans="2:12" s="3" customFormat="1" ht="11.25" customHeight="1" x14ac:dyDescent="0.2">
      <c r="B768" s="368"/>
      <c r="D768" s="21"/>
      <c r="E768" s="25"/>
      <c r="F768" s="25"/>
      <c r="G768" s="12"/>
      <c r="J768" s="5"/>
      <c r="L768" s="461"/>
    </row>
    <row r="769" spans="2:12" s="3" customFormat="1" ht="11.25" customHeight="1" x14ac:dyDescent="0.2">
      <c r="B769" s="368"/>
      <c r="D769" s="21"/>
      <c r="E769" s="25"/>
      <c r="F769" s="25"/>
      <c r="G769" s="12"/>
      <c r="J769" s="5"/>
      <c r="L769" s="461"/>
    </row>
    <row r="770" spans="2:12" s="3" customFormat="1" ht="11.25" customHeight="1" x14ac:dyDescent="0.2">
      <c r="B770" s="368"/>
      <c r="D770" s="21"/>
      <c r="E770" s="25"/>
      <c r="F770" s="25"/>
      <c r="G770" s="12"/>
      <c r="J770" s="5"/>
      <c r="L770" s="461"/>
    </row>
    <row r="771" spans="2:12" s="3" customFormat="1" ht="11.25" customHeight="1" x14ac:dyDescent="0.2">
      <c r="B771" s="368"/>
      <c r="D771" s="21"/>
      <c r="E771" s="25"/>
      <c r="F771" s="25"/>
      <c r="G771" s="12"/>
      <c r="J771" s="5"/>
      <c r="L771" s="461"/>
    </row>
    <row r="772" spans="2:12" s="3" customFormat="1" ht="11.25" customHeight="1" x14ac:dyDescent="0.2">
      <c r="B772" s="368"/>
      <c r="D772" s="21"/>
      <c r="E772" s="25"/>
      <c r="F772" s="25"/>
      <c r="G772" s="12"/>
      <c r="J772" s="5"/>
      <c r="L772" s="461"/>
    </row>
    <row r="773" spans="2:12" s="3" customFormat="1" ht="11.25" customHeight="1" x14ac:dyDescent="0.2">
      <c r="B773" s="368"/>
      <c r="D773" s="21"/>
      <c r="E773" s="25"/>
      <c r="F773" s="25"/>
      <c r="G773" s="12"/>
      <c r="J773" s="5"/>
      <c r="L773" s="461"/>
    </row>
    <row r="774" spans="2:12" s="3" customFormat="1" ht="11.25" customHeight="1" x14ac:dyDescent="0.2">
      <c r="B774" s="368"/>
      <c r="D774" s="21"/>
      <c r="E774" s="25"/>
      <c r="F774" s="25"/>
      <c r="G774" s="12"/>
      <c r="J774" s="5"/>
      <c r="L774" s="461"/>
    </row>
    <row r="775" spans="2:12" s="3" customFormat="1" ht="11.25" customHeight="1" x14ac:dyDescent="0.2">
      <c r="B775" s="368"/>
      <c r="D775" s="21"/>
      <c r="E775" s="25"/>
      <c r="F775" s="25"/>
      <c r="G775" s="12"/>
      <c r="J775" s="5"/>
      <c r="L775" s="461"/>
    </row>
    <row r="776" spans="2:12" s="3" customFormat="1" ht="11.25" customHeight="1" x14ac:dyDescent="0.2">
      <c r="B776" s="368"/>
      <c r="D776" s="21"/>
      <c r="E776" s="25"/>
      <c r="F776" s="25"/>
      <c r="G776" s="12"/>
      <c r="J776" s="5"/>
      <c r="L776" s="461"/>
    </row>
    <row r="777" spans="2:12" s="3" customFormat="1" ht="11.25" customHeight="1" x14ac:dyDescent="0.2">
      <c r="B777" s="368"/>
      <c r="D777" s="21"/>
      <c r="E777" s="25"/>
      <c r="F777" s="25"/>
      <c r="G777" s="12"/>
      <c r="J777" s="5"/>
      <c r="L777" s="461"/>
    </row>
    <row r="778" spans="2:12" s="3" customFormat="1" ht="11.25" customHeight="1" x14ac:dyDescent="0.2">
      <c r="B778" s="368"/>
      <c r="D778" s="21"/>
      <c r="E778" s="25"/>
      <c r="F778" s="25"/>
      <c r="G778" s="12"/>
      <c r="J778" s="5"/>
      <c r="L778" s="461"/>
    </row>
    <row r="779" spans="2:12" s="3" customFormat="1" ht="11.25" customHeight="1" x14ac:dyDescent="0.2">
      <c r="B779" s="368"/>
      <c r="D779" s="21"/>
      <c r="E779" s="25"/>
      <c r="F779" s="25"/>
      <c r="G779" s="12"/>
      <c r="J779" s="5"/>
      <c r="L779" s="461"/>
    </row>
    <row r="780" spans="2:12" s="3" customFormat="1" ht="11.25" customHeight="1" x14ac:dyDescent="0.2">
      <c r="B780" s="368"/>
      <c r="D780" s="21"/>
      <c r="E780" s="25"/>
      <c r="F780" s="25"/>
      <c r="G780" s="12"/>
      <c r="J780" s="5"/>
      <c r="L780" s="461"/>
    </row>
    <row r="781" spans="2:12" s="3" customFormat="1" ht="11.25" customHeight="1" x14ac:dyDescent="0.2">
      <c r="B781" s="368"/>
      <c r="D781" s="21"/>
      <c r="E781" s="25"/>
      <c r="F781" s="25"/>
      <c r="G781" s="12"/>
      <c r="J781" s="5"/>
      <c r="L781" s="461"/>
    </row>
    <row r="782" spans="2:12" s="3" customFormat="1" ht="11.25" customHeight="1" x14ac:dyDescent="0.2">
      <c r="B782" s="368"/>
      <c r="D782" s="21"/>
      <c r="E782" s="25"/>
      <c r="F782" s="25"/>
      <c r="G782" s="12"/>
      <c r="J782" s="5"/>
      <c r="L782" s="461"/>
    </row>
    <row r="783" spans="2:12" s="3" customFormat="1" ht="11.25" customHeight="1" x14ac:dyDescent="0.2">
      <c r="B783" s="368"/>
      <c r="D783" s="21"/>
      <c r="E783" s="25"/>
      <c r="F783" s="25"/>
      <c r="G783" s="12"/>
      <c r="J783" s="5"/>
      <c r="L783" s="461"/>
    </row>
    <row r="784" spans="2:12" s="3" customFormat="1" ht="11.25" customHeight="1" x14ac:dyDescent="0.2">
      <c r="B784" s="368"/>
      <c r="D784" s="21"/>
      <c r="E784" s="25"/>
      <c r="F784" s="25"/>
      <c r="G784" s="12"/>
      <c r="J784" s="5"/>
      <c r="L784" s="461"/>
    </row>
    <row r="785" spans="2:12" s="3" customFormat="1" ht="11.25" customHeight="1" x14ac:dyDescent="0.2">
      <c r="B785" s="368"/>
      <c r="D785" s="21"/>
      <c r="E785" s="25"/>
      <c r="F785" s="25"/>
      <c r="G785" s="12"/>
      <c r="J785" s="5"/>
      <c r="L785" s="461"/>
    </row>
    <row r="786" spans="2:12" s="3" customFormat="1" ht="11.25" customHeight="1" x14ac:dyDescent="0.2">
      <c r="B786" s="368"/>
      <c r="D786" s="21"/>
      <c r="E786" s="25"/>
      <c r="F786" s="25"/>
      <c r="G786" s="12"/>
      <c r="J786" s="5"/>
      <c r="L786" s="461"/>
    </row>
    <row r="787" spans="2:12" s="3" customFormat="1" ht="11.25" customHeight="1" x14ac:dyDescent="0.2">
      <c r="B787" s="368"/>
      <c r="D787" s="21"/>
      <c r="E787" s="25"/>
      <c r="F787" s="25"/>
      <c r="G787" s="12"/>
      <c r="J787" s="5"/>
      <c r="L787" s="461"/>
    </row>
    <row r="788" spans="2:12" s="3" customFormat="1" ht="11.25" customHeight="1" x14ac:dyDescent="0.2">
      <c r="B788" s="368"/>
      <c r="D788" s="21"/>
      <c r="E788" s="25"/>
      <c r="F788" s="25"/>
      <c r="G788" s="12"/>
      <c r="J788" s="5"/>
      <c r="L788" s="461"/>
    </row>
    <row r="789" spans="2:12" s="3" customFormat="1" ht="11.25" customHeight="1" x14ac:dyDescent="0.2">
      <c r="B789" s="368"/>
      <c r="D789" s="21"/>
      <c r="E789" s="25"/>
      <c r="F789" s="25"/>
      <c r="G789" s="12"/>
      <c r="J789" s="5"/>
      <c r="L789" s="461"/>
    </row>
    <row r="790" spans="2:12" s="3" customFormat="1" ht="11.25" customHeight="1" x14ac:dyDescent="0.2">
      <c r="B790" s="368"/>
      <c r="D790" s="21"/>
      <c r="E790" s="25"/>
      <c r="F790" s="25"/>
      <c r="G790" s="12"/>
      <c r="J790" s="5"/>
      <c r="L790" s="461"/>
    </row>
    <row r="791" spans="2:12" s="3" customFormat="1" ht="11.25" customHeight="1" x14ac:dyDescent="0.2">
      <c r="B791" s="368"/>
      <c r="D791" s="21"/>
      <c r="E791" s="25"/>
      <c r="F791" s="25"/>
      <c r="G791" s="12"/>
      <c r="J791" s="5"/>
      <c r="L791" s="461"/>
    </row>
    <row r="792" spans="2:12" s="3" customFormat="1" ht="11.25" customHeight="1" x14ac:dyDescent="0.2">
      <c r="B792" s="368"/>
      <c r="D792" s="21"/>
      <c r="E792" s="25"/>
      <c r="F792" s="25"/>
      <c r="G792" s="12"/>
      <c r="J792" s="5"/>
      <c r="L792" s="461"/>
    </row>
    <row r="793" spans="2:12" s="3" customFormat="1" ht="11.25" customHeight="1" x14ac:dyDescent="0.2">
      <c r="B793" s="368"/>
      <c r="D793" s="21"/>
      <c r="E793" s="25"/>
      <c r="F793" s="25"/>
      <c r="G793" s="12"/>
      <c r="J793" s="5"/>
      <c r="L793" s="461"/>
    </row>
    <row r="794" spans="2:12" s="3" customFormat="1" ht="11.25" customHeight="1" x14ac:dyDescent="0.2">
      <c r="B794" s="368"/>
      <c r="D794" s="21"/>
      <c r="E794" s="25"/>
      <c r="F794" s="25"/>
      <c r="G794" s="12"/>
      <c r="J794" s="5"/>
      <c r="L794" s="461"/>
    </row>
    <row r="795" spans="2:12" s="3" customFormat="1" ht="11.25" customHeight="1" x14ac:dyDescent="0.2">
      <c r="B795" s="368"/>
      <c r="D795" s="21"/>
      <c r="E795" s="25"/>
      <c r="F795" s="25"/>
      <c r="G795" s="12"/>
      <c r="J795" s="5"/>
      <c r="L795" s="461"/>
    </row>
    <row r="796" spans="2:12" s="3" customFormat="1" ht="11.25" customHeight="1" x14ac:dyDescent="0.2">
      <c r="B796" s="368"/>
      <c r="D796" s="21"/>
      <c r="E796" s="25"/>
      <c r="F796" s="25"/>
      <c r="G796" s="12"/>
      <c r="J796" s="5"/>
      <c r="L796" s="461"/>
    </row>
    <row r="797" spans="2:12" s="3" customFormat="1" ht="11.25" customHeight="1" x14ac:dyDescent="0.2">
      <c r="B797" s="368"/>
      <c r="D797" s="21"/>
      <c r="E797" s="25"/>
      <c r="F797" s="25"/>
      <c r="G797" s="12"/>
      <c r="J797" s="5"/>
      <c r="L797" s="461"/>
    </row>
    <row r="798" spans="2:12" s="3" customFormat="1" ht="11.25" customHeight="1" x14ac:dyDescent="0.2">
      <c r="B798" s="368"/>
      <c r="D798" s="21"/>
      <c r="E798" s="25"/>
      <c r="F798" s="25"/>
      <c r="G798" s="12"/>
      <c r="J798" s="5"/>
      <c r="L798" s="461"/>
    </row>
    <row r="799" spans="2:12" s="3" customFormat="1" ht="11.25" customHeight="1" x14ac:dyDescent="0.2">
      <c r="B799" s="368"/>
      <c r="D799" s="21"/>
      <c r="E799" s="25"/>
      <c r="F799" s="25"/>
      <c r="G799" s="12"/>
      <c r="J799" s="5"/>
      <c r="L799" s="461"/>
    </row>
    <row r="800" spans="2:12" s="3" customFormat="1" ht="11.25" customHeight="1" x14ac:dyDescent="0.2">
      <c r="B800" s="368"/>
      <c r="D800" s="21"/>
      <c r="E800" s="25"/>
      <c r="F800" s="25"/>
      <c r="G800" s="12"/>
      <c r="J800" s="5"/>
      <c r="L800" s="461"/>
    </row>
    <row r="801" spans="2:12" s="3" customFormat="1" ht="11.25" customHeight="1" x14ac:dyDescent="0.2">
      <c r="B801" s="368"/>
      <c r="D801" s="21"/>
      <c r="E801" s="25"/>
      <c r="F801" s="25"/>
      <c r="G801" s="12"/>
      <c r="J801" s="5"/>
      <c r="L801" s="461"/>
    </row>
    <row r="802" spans="2:12" s="3" customFormat="1" ht="11.25" customHeight="1" x14ac:dyDescent="0.2">
      <c r="B802" s="368"/>
      <c r="D802" s="21"/>
      <c r="E802" s="25"/>
      <c r="F802" s="25"/>
      <c r="G802" s="12"/>
      <c r="J802" s="5"/>
      <c r="L802" s="461"/>
    </row>
    <row r="803" spans="2:12" s="3" customFormat="1" ht="11.25" customHeight="1" x14ac:dyDescent="0.2">
      <c r="B803" s="368"/>
      <c r="D803" s="21"/>
      <c r="E803" s="25"/>
      <c r="F803" s="25"/>
      <c r="G803" s="12"/>
      <c r="J803" s="5"/>
      <c r="L803" s="461"/>
    </row>
    <row r="804" spans="2:12" s="3" customFormat="1" ht="11.25" customHeight="1" x14ac:dyDescent="0.2">
      <c r="B804" s="368"/>
      <c r="D804" s="21"/>
      <c r="E804" s="25"/>
      <c r="F804" s="25"/>
      <c r="G804" s="12"/>
      <c r="J804" s="5"/>
      <c r="L804" s="461"/>
    </row>
    <row r="805" spans="2:12" s="3" customFormat="1" ht="11.25" customHeight="1" x14ac:dyDescent="0.2">
      <c r="B805" s="368"/>
      <c r="D805" s="21"/>
      <c r="E805" s="25"/>
      <c r="F805" s="25"/>
      <c r="G805" s="12"/>
      <c r="J805" s="5"/>
      <c r="L805" s="461"/>
    </row>
    <row r="806" spans="2:12" s="3" customFormat="1" ht="11.25" customHeight="1" x14ac:dyDescent="0.2">
      <c r="B806" s="368"/>
      <c r="D806" s="21"/>
      <c r="E806" s="25"/>
      <c r="F806" s="25"/>
      <c r="G806" s="12"/>
      <c r="J806" s="5"/>
      <c r="L806" s="461"/>
    </row>
    <row r="807" spans="2:12" s="3" customFormat="1" ht="11.25" customHeight="1" x14ac:dyDescent="0.2">
      <c r="B807" s="368"/>
      <c r="D807" s="21"/>
      <c r="E807" s="25"/>
      <c r="F807" s="25"/>
      <c r="G807" s="12"/>
      <c r="J807" s="5"/>
      <c r="L807" s="461"/>
    </row>
    <row r="808" spans="2:12" s="3" customFormat="1" ht="11.25" customHeight="1" x14ac:dyDescent="0.2">
      <c r="B808" s="368"/>
      <c r="D808" s="21"/>
      <c r="E808" s="25"/>
      <c r="F808" s="25"/>
      <c r="G808" s="12"/>
      <c r="J808" s="5"/>
      <c r="L808" s="461"/>
    </row>
    <row r="809" spans="2:12" s="3" customFormat="1" ht="11.25" customHeight="1" x14ac:dyDescent="0.2">
      <c r="B809" s="368"/>
      <c r="D809" s="21"/>
      <c r="E809" s="25"/>
      <c r="F809" s="25"/>
      <c r="G809" s="12"/>
      <c r="J809" s="5"/>
      <c r="L809" s="461"/>
    </row>
    <row r="810" spans="2:12" s="3" customFormat="1" ht="11.25" customHeight="1" x14ac:dyDescent="0.2">
      <c r="B810" s="368"/>
      <c r="D810" s="21"/>
      <c r="E810" s="25"/>
      <c r="F810" s="25"/>
      <c r="G810" s="12"/>
      <c r="J810" s="5"/>
      <c r="L810" s="461"/>
    </row>
    <row r="811" spans="2:12" s="3" customFormat="1" ht="11.25" customHeight="1" x14ac:dyDescent="0.2">
      <c r="B811" s="368"/>
      <c r="D811" s="21"/>
      <c r="E811" s="25"/>
      <c r="F811" s="25"/>
      <c r="G811" s="12"/>
      <c r="J811" s="5"/>
      <c r="L811" s="461"/>
    </row>
    <row r="812" spans="2:12" s="3" customFormat="1" ht="11.25" customHeight="1" x14ac:dyDescent="0.2">
      <c r="B812" s="368"/>
      <c r="D812" s="21"/>
      <c r="E812" s="25"/>
      <c r="F812" s="25"/>
      <c r="G812" s="12"/>
      <c r="J812" s="5"/>
      <c r="L812" s="461"/>
    </row>
    <row r="813" spans="2:12" s="3" customFormat="1" ht="11.25" customHeight="1" x14ac:dyDescent="0.2">
      <c r="B813" s="368"/>
      <c r="D813" s="21"/>
      <c r="E813" s="25"/>
      <c r="F813" s="25"/>
      <c r="G813" s="12"/>
      <c r="J813" s="5"/>
      <c r="L813" s="461"/>
    </row>
    <row r="814" spans="2:12" s="3" customFormat="1" ht="11.25" customHeight="1" x14ac:dyDescent="0.2">
      <c r="B814" s="368"/>
      <c r="D814" s="21"/>
      <c r="E814" s="25"/>
      <c r="F814" s="25"/>
      <c r="G814" s="12"/>
      <c r="J814" s="5"/>
      <c r="L814" s="461"/>
    </row>
    <row r="815" spans="2:12" s="3" customFormat="1" ht="11.25" customHeight="1" x14ac:dyDescent="0.2">
      <c r="B815" s="368"/>
      <c r="D815" s="21"/>
      <c r="E815" s="25"/>
      <c r="F815" s="25"/>
      <c r="G815" s="12"/>
      <c r="J815" s="5"/>
      <c r="L815" s="461"/>
    </row>
    <row r="816" spans="2:12" s="3" customFormat="1" ht="11.25" customHeight="1" x14ac:dyDescent="0.2">
      <c r="B816" s="368"/>
      <c r="D816" s="21"/>
      <c r="E816" s="25"/>
      <c r="F816" s="25"/>
      <c r="G816" s="12"/>
      <c r="J816" s="5"/>
      <c r="L816" s="461"/>
    </row>
    <row r="817" spans="2:12" s="3" customFormat="1" ht="11.25" customHeight="1" x14ac:dyDescent="0.2">
      <c r="B817" s="368"/>
      <c r="D817" s="21"/>
      <c r="E817" s="25"/>
      <c r="F817" s="25"/>
      <c r="G817" s="12"/>
      <c r="J817" s="5"/>
      <c r="L817" s="461"/>
    </row>
    <row r="818" spans="2:12" s="3" customFormat="1" ht="11.25" customHeight="1" x14ac:dyDescent="0.2">
      <c r="B818" s="368"/>
      <c r="D818" s="21"/>
      <c r="E818" s="25"/>
      <c r="F818" s="25"/>
      <c r="G818" s="12"/>
      <c r="J818" s="5"/>
      <c r="L818" s="461"/>
    </row>
    <row r="819" spans="2:12" s="3" customFormat="1" ht="11.25" customHeight="1" x14ac:dyDescent="0.2">
      <c r="B819" s="368"/>
      <c r="D819" s="21"/>
      <c r="E819" s="25"/>
      <c r="F819" s="25"/>
      <c r="G819" s="12"/>
      <c r="J819" s="5"/>
      <c r="L819" s="461"/>
    </row>
    <row r="820" spans="2:12" s="3" customFormat="1" ht="11.25" customHeight="1" x14ac:dyDescent="0.2">
      <c r="B820" s="368"/>
      <c r="D820" s="21"/>
      <c r="E820" s="25"/>
      <c r="F820" s="25"/>
      <c r="G820" s="12"/>
      <c r="J820" s="5"/>
      <c r="L820" s="461"/>
    </row>
  </sheetData>
  <autoFilter ref="A1:K116"/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$TBao1</vt:lpstr>
      <vt:lpstr>%-TBao2</vt:lpstr>
      <vt:lpstr>Du lieu lien quan</vt:lpstr>
      <vt:lpstr>'$TBao1'!Print_Area</vt:lpstr>
      <vt:lpstr>'%-TBao2'!Print_Area</vt:lpstr>
      <vt:lpstr>'$TBao1'!Print_Titles</vt:lpstr>
      <vt:lpstr>'%-TBao2'!Print_Titles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Admin</cp:lastModifiedBy>
  <cp:lastPrinted>2022-09-15T09:27:45Z</cp:lastPrinted>
  <dcterms:created xsi:type="dcterms:W3CDTF">1996-10-14T23:33:28Z</dcterms:created>
  <dcterms:modified xsi:type="dcterms:W3CDTF">2022-09-16T02:35:24Z</dcterms:modified>
</cp:coreProperties>
</file>